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ginale" sheetId="1" r:id="rId4"/>
    <sheet state="visible" name="riqualificato" sheetId="2" r:id="rId5"/>
    <sheet state="visible" name="terreno" sheetId="3" r:id="rId6"/>
    <sheet state="visible" name="glaser" sheetId="4" r:id="rId7"/>
    <sheet state="visible" name="Foglio5" sheetId="5" r:id="rId8"/>
    <sheet state="visible" name="Foglio6" sheetId="6" r:id="rId9"/>
  </sheets>
  <definedNames/>
  <calcPr/>
</workbook>
</file>

<file path=xl/sharedStrings.xml><?xml version="1.0" encoding="utf-8"?>
<sst xmlns="http://schemas.openxmlformats.org/spreadsheetml/2006/main" count="602" uniqueCount="233">
  <si>
    <t>RIQUALIFICAZIONE</t>
  </si>
  <si>
    <t>Temperatura minima (BS)</t>
  </si>
  <si>
    <t>°C</t>
  </si>
  <si>
    <t>Salto temperatura</t>
  </si>
  <si>
    <t>Temperatura terreno</t>
  </si>
  <si>
    <t>Salto temperatura terreno</t>
  </si>
  <si>
    <t>Cucina al piano terra</t>
  </si>
  <si>
    <t>Elementi</t>
  </si>
  <si>
    <t>Area m2</t>
  </si>
  <si>
    <t>U w/m2 k</t>
  </si>
  <si>
    <t>Esposiz.</t>
  </si>
  <si>
    <t>Ponti Ter.</t>
  </si>
  <si>
    <t>Q watt</t>
  </si>
  <si>
    <t>Perdite Ventilazione</t>
  </si>
  <si>
    <t>parete O 4.6x3</t>
  </si>
  <si>
    <t>Parete perimetrale 30 cm</t>
  </si>
  <si>
    <t>Spess m</t>
  </si>
  <si>
    <t>Landa</t>
  </si>
  <si>
    <t>R</t>
  </si>
  <si>
    <t>Cucina</t>
  </si>
  <si>
    <t>w</t>
  </si>
  <si>
    <t>porta blindata O 2x0.9</t>
  </si>
  <si>
    <t>aria est.</t>
  </si>
  <si>
    <t>Soggiorno</t>
  </si>
  <si>
    <t>finestra O  1.9x 1.5</t>
  </si>
  <si>
    <t>intonaco est. Cemento</t>
  </si>
  <si>
    <t>Camera pt</t>
  </si>
  <si>
    <t>pavimento 4.6x3.1</t>
  </si>
  <si>
    <t>laterizio 1400</t>
  </si>
  <si>
    <t>Atrio</t>
  </si>
  <si>
    <t>parete interna 3.1x3</t>
  </si>
  <si>
    <t>intonaco int. Cem. E Gesso</t>
  </si>
  <si>
    <t>Bagno</t>
  </si>
  <si>
    <t>aria int.</t>
  </si>
  <si>
    <t>Camera 1</t>
  </si>
  <si>
    <t>Soggiorno piano terra</t>
  </si>
  <si>
    <t>R totale</t>
  </si>
  <si>
    <t>Camera 2</t>
  </si>
  <si>
    <t>U totale</t>
  </si>
  <si>
    <t>w/m2 k</t>
  </si>
  <si>
    <t>parete E 4.6x3</t>
  </si>
  <si>
    <t>Vano scale</t>
  </si>
  <si>
    <t>parete S  0.9x3</t>
  </si>
  <si>
    <t>Porta blindata</t>
  </si>
  <si>
    <t>U</t>
  </si>
  <si>
    <t>tot.</t>
  </si>
  <si>
    <t>finestra E 1.78x1.5</t>
  </si>
  <si>
    <t>pavimento 3.95x4.6</t>
  </si>
  <si>
    <t>porta</t>
  </si>
  <si>
    <t>Atot</t>
  </si>
  <si>
    <t>m2</t>
  </si>
  <si>
    <t>parete interna 3.95x3</t>
  </si>
  <si>
    <t>N. camere</t>
  </si>
  <si>
    <t>R tot.</t>
  </si>
  <si>
    <t>Portata</t>
  </si>
  <si>
    <t>l/s</t>
  </si>
  <si>
    <t>Camera piano terra</t>
  </si>
  <si>
    <t>U tot.</t>
  </si>
  <si>
    <t>Kg/s</t>
  </si>
  <si>
    <t>Qv</t>
  </si>
  <si>
    <t>watt</t>
  </si>
  <si>
    <t>parete O 3.3x3</t>
  </si>
  <si>
    <t>Finestra legno vetro singolo</t>
  </si>
  <si>
    <t>Uw</t>
  </si>
  <si>
    <t>finestra O 1x1.5</t>
  </si>
  <si>
    <t>pavimento 3.3x4.5</t>
  </si>
  <si>
    <t>finestra</t>
  </si>
  <si>
    <t>4 persone</t>
  </si>
  <si>
    <t>Atrio piano terra</t>
  </si>
  <si>
    <t>porta blindata E 0.9x2</t>
  </si>
  <si>
    <t>Copertura</t>
  </si>
  <si>
    <t>finestra E 1x1,5</t>
  </si>
  <si>
    <t>aria int</t>
  </si>
  <si>
    <t>pavimento 4.6x1.35</t>
  </si>
  <si>
    <t>intonaco interno</t>
  </si>
  <si>
    <t xml:space="preserve">soletta C.A </t>
  </si>
  <si>
    <t>Bagno piano terra</t>
  </si>
  <si>
    <t>camera aria</t>
  </si>
  <si>
    <t>assi legno</t>
  </si>
  <si>
    <t>parete S 6x3</t>
  </si>
  <si>
    <t>copertura in tegole</t>
  </si>
  <si>
    <t>parete O 1x3</t>
  </si>
  <si>
    <t>aria esterna</t>
  </si>
  <si>
    <t>finestra S 0.6*1,5</t>
  </si>
  <si>
    <t>pavimento 6x1</t>
  </si>
  <si>
    <t>Totale piano terra</t>
  </si>
  <si>
    <t>Camera 1 primo piano</t>
  </si>
  <si>
    <t>porta finestra O  1.5x 2.2</t>
  </si>
  <si>
    <t>parete N 4.9x3</t>
  </si>
  <si>
    <t>copertura 4.9x4.6</t>
  </si>
  <si>
    <t>Camera 2 primo piano</t>
  </si>
  <si>
    <t>parete O 3.5x3</t>
  </si>
  <si>
    <t>finestra E 1x1.5</t>
  </si>
  <si>
    <t>porta finestra E 0.9x2</t>
  </si>
  <si>
    <t>parete S 1.9x3</t>
  </si>
  <si>
    <t>copertura 3.5x6 + 1.1x1.9+ 1.15*0.9</t>
  </si>
  <si>
    <t>Bagno primo piano</t>
  </si>
  <si>
    <t>parete N 2.2x3</t>
  </si>
  <si>
    <t>finestra E 1.78*1.5</t>
  </si>
  <si>
    <t>parete S 0.9x3</t>
  </si>
  <si>
    <t>copertura 4.6x2.2 -1x1</t>
  </si>
  <si>
    <t>Vano scale primo piano</t>
  </si>
  <si>
    <t>parete S 4x3</t>
  </si>
  <si>
    <t>finestra O 0.5x0.5</t>
  </si>
  <si>
    <t>copertura 4x1</t>
  </si>
  <si>
    <t>Totale primo piano</t>
  </si>
  <si>
    <t>Totale complessivo + vent.</t>
  </si>
  <si>
    <t>Kw</t>
  </si>
  <si>
    <t>Ore riscaldamento zona E</t>
  </si>
  <si>
    <t>ore</t>
  </si>
  <si>
    <t xml:space="preserve">Giorni </t>
  </si>
  <si>
    <t>giorni</t>
  </si>
  <si>
    <t>Energia invernale</t>
  </si>
  <si>
    <t>Kwh</t>
  </si>
  <si>
    <t>Superficie complessiva</t>
  </si>
  <si>
    <t>m2 circa</t>
  </si>
  <si>
    <t>Fabbisogno termico al m2</t>
  </si>
  <si>
    <t>Kwh m2 / anno</t>
  </si>
  <si>
    <t>Costo indicativo energia termica</t>
  </si>
  <si>
    <t>€</t>
  </si>
  <si>
    <t>(con 0,1 € al Kwh)</t>
  </si>
  <si>
    <t>Stiferite GTE con b,vap</t>
  </si>
  <si>
    <t xml:space="preserve">Finestra triplo vetro Classic-line 77
</t>
  </si>
  <si>
    <t>tappeto lana roccia Rock</t>
  </si>
  <si>
    <t>NB: con ventilazione meccanica localizzata efficienza 70%</t>
  </si>
  <si>
    <t>Calcolo tramisttanza pavimento su terreno (UNI EN 13370:2008)</t>
  </si>
  <si>
    <t>A</t>
  </si>
  <si>
    <t>area interna pavimento</t>
  </si>
  <si>
    <t>P</t>
  </si>
  <si>
    <t>perimetro pavimento</t>
  </si>
  <si>
    <t>landa terreno</t>
  </si>
  <si>
    <t>w/mk</t>
  </si>
  <si>
    <t>conduc. del terreno (sabbia + ghiaia)</t>
  </si>
  <si>
    <t>Sp pareti perimet.</t>
  </si>
  <si>
    <t>m</t>
  </si>
  <si>
    <t>spessore delle pareti esterne della struttura</t>
  </si>
  <si>
    <t>Rf del pavimento</t>
  </si>
  <si>
    <t>w/m2k</t>
  </si>
  <si>
    <t>Calcolo dimensione caratteristica B' del locale</t>
  </si>
  <si>
    <t>B'</t>
  </si>
  <si>
    <t>Calcolo spessore equivalente del pavimento dt</t>
  </si>
  <si>
    <t>dt</t>
  </si>
  <si>
    <t>pavimento NON isolato</t>
  </si>
  <si>
    <t>Trasmittanza termica del pavimento</t>
  </si>
  <si>
    <t>da usare x le dispersioni</t>
  </si>
  <si>
    <t>Pavimento</t>
  </si>
  <si>
    <t>stratigrafia</t>
  </si>
  <si>
    <t>s</t>
  </si>
  <si>
    <t>landa</t>
  </si>
  <si>
    <t>hi</t>
  </si>
  <si>
    <t>piastrelle</t>
  </si>
  <si>
    <t>Rf</t>
  </si>
  <si>
    <t>sottofondo</t>
  </si>
  <si>
    <t>C.L.S</t>
  </si>
  <si>
    <t>Rf del pavimento (struttura esclusa hi)</t>
  </si>
  <si>
    <t>Parete con cappotto interno</t>
  </si>
  <si>
    <t>Temperatura media mensile + fredda della località</t>
  </si>
  <si>
    <t>Pressione media mensile vapore aria esterna</t>
  </si>
  <si>
    <t>Pa</t>
  </si>
  <si>
    <t>Temperatura aria interna U.R. 50%</t>
  </si>
  <si>
    <t>Pressione vapore aria interna</t>
  </si>
  <si>
    <t>Spessore  m</t>
  </si>
  <si>
    <t>Rt  m2 k / w</t>
  </si>
  <si>
    <t>Permeabilità al vapore (Pa m2 s / kg)</t>
  </si>
  <si>
    <t>laterizio</t>
  </si>
  <si>
    <t>isolante</t>
  </si>
  <si>
    <t>C.A.</t>
  </si>
  <si>
    <t>aria interna</t>
  </si>
  <si>
    <t>resistenza totale</t>
  </si>
  <si>
    <t>Distribuzione temperature alle varie faccie degli strati parete</t>
  </si>
  <si>
    <t>Q= U A DT = DT / Rtot</t>
  </si>
  <si>
    <t>per 1 m2</t>
  </si>
  <si>
    <t>NB: nel calcolo partiamo dalla faccia interna</t>
  </si>
  <si>
    <t>faccie</t>
  </si>
  <si>
    <t>Temperatura  °C</t>
  </si>
  <si>
    <t>Temperature fra le varie faccie</t>
  </si>
  <si>
    <t>(Tc-Tf) / Rstrato = (Tint - Test) / Rtot</t>
  </si>
  <si>
    <t>laterizio-aria</t>
  </si>
  <si>
    <t>Tf = Tc - (Rstrato / Rtot)  * (Tint - Test)</t>
  </si>
  <si>
    <t>isolante-lateriz</t>
  </si>
  <si>
    <t>c= faccia calda</t>
  </si>
  <si>
    <t>C.A-isolante</t>
  </si>
  <si>
    <t>f= faccia fredda</t>
  </si>
  <si>
    <t>aria-C.A</t>
  </si>
  <si>
    <t>nota dai dati</t>
  </si>
  <si>
    <t xml:space="preserve">Distribuzione pressione di SATURAZIONE vapore dell'aria alle temperature calcolate sopra </t>
  </si>
  <si>
    <t>pv  SATUR. Pa</t>
  </si>
  <si>
    <t>La pressione di SATURAZIONE vapore dell'aria indica la capacità  massima dell'aria di contenere vapore</t>
  </si>
  <si>
    <t>senza formare condensa (goccie di acqua). Se la pressione di SATURAZIONE è più bassa</t>
  </si>
  <si>
    <t>della pressione di vapore dell'aria si ha condensazione cioè formazione di gocce.</t>
  </si>
  <si>
    <t>Distribuzione della pressione di vapore dell'aria (dipende dalla permeabilità materiali)</t>
  </si>
  <si>
    <t>Pressioni del vapore fra le varie faccie</t>
  </si>
  <si>
    <t>Spessore</t>
  </si>
  <si>
    <t>Permeabilità</t>
  </si>
  <si>
    <t>Rvap  (s/ permeabilità)</t>
  </si>
  <si>
    <t>pv aria (Pa)</t>
  </si>
  <si>
    <t>(pv_c - pv_f) / Rvap_strato = (pv_int - pvap_est) / Rvap_tot</t>
  </si>
  <si>
    <t>pv_f = pv_c - (Rvap_strato / Rvap_tot)  * (pv_int- pv_est)</t>
  </si>
  <si>
    <t>Riassumendo alle varie faccie degli strati di materiale abbiamo</t>
  </si>
  <si>
    <t>strato</t>
  </si>
  <si>
    <t>Spessore totale</t>
  </si>
  <si>
    <t>pv SATURAZ.</t>
  </si>
  <si>
    <t>pv aria</t>
  </si>
  <si>
    <t>NB: riportare gli spessori cumulativi ai vari strati</t>
  </si>
  <si>
    <t>Grafico spessore - pressioni (GLASER)</t>
  </si>
  <si>
    <t>BLU PRESSIONE SATURAZIONE VAPORE</t>
  </si>
  <si>
    <t>ROSSA PRESSIONE VAPORE</t>
  </si>
  <si>
    <t xml:space="preserve">Se la pressione SATURAZIONE blu del vapore </t>
  </si>
  <si>
    <t>scende sotto la pressione dell'aria rossa</t>
  </si>
  <si>
    <t>allora li si forma CONDENSA !!!</t>
  </si>
  <si>
    <t xml:space="preserve">Landa </t>
  </si>
  <si>
    <t xml:space="preserve"> mu 1</t>
  </si>
  <si>
    <t>NB: spesso la permeabilità</t>
  </si>
  <si>
    <t xml:space="preserve"> mu 40</t>
  </si>
  <si>
    <t>viene fornita relativa a quella</t>
  </si>
  <si>
    <t>intonaco est</t>
  </si>
  <si>
    <t xml:space="preserve"> mu 19</t>
  </si>
  <si>
    <t>dell'aria assunta come riferimento</t>
  </si>
  <si>
    <t xml:space="preserve"> mu 20</t>
  </si>
  <si>
    <t>intonaco int</t>
  </si>
  <si>
    <t xml:space="preserve"> mu 11,5</t>
  </si>
  <si>
    <t>aria-isolante</t>
  </si>
  <si>
    <t>isolante-intonac</t>
  </si>
  <si>
    <t>intonac.-lateriz.</t>
  </si>
  <si>
    <t>lateriz.-intonac.</t>
  </si>
  <si>
    <t>intonac.-aria</t>
  </si>
  <si>
    <t>Computer uso CAD 3D</t>
  </si>
  <si>
    <t>8 GB RAM</t>
  </si>
  <si>
    <t xml:space="preserve">256 GB disco SSD (no meccanico!!!!!) </t>
  </si>
  <si>
    <t>monitor FHD  (no HD)</t>
  </si>
  <si>
    <t>intel I5 dall'ottava generazione in su</t>
  </si>
  <si>
    <t>AMD ryzen 5 2° generazione 3500u</t>
  </si>
  <si>
    <t>Lenovo, HP, Asus, Acer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</si>
</sst>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"/>
  </numFmts>
  <fonts count="11">
    <font>
      <sz val="10.0"/>
      <color rgb="FF000000"/>
      <name val="Arial"/>
    </font>
    <font>
      <b/>
      <sz val="11.0"/>
      <color rgb="FF000000"/>
      <name val="Calibri"/>
    </font>
    <font>
      <sz val="11.0"/>
      <color rgb="FF000000"/>
      <name val="Calibri"/>
    </font>
    <font>
      <b/>
      <color theme="1"/>
      <name val="Arial"/>
    </font>
    <font>
      <color theme="1"/>
      <name val="Arial"/>
    </font>
    <font>
      <sz val="11.0"/>
      <color rgb="FF000000"/>
      <name val="Arial"/>
    </font>
    <font>
      <b/>
      <sz val="11.0"/>
      <color rgb="FFFF0000"/>
      <name val="Calibri"/>
    </font>
    <font>
      <sz val="11.0"/>
      <color rgb="FFFF0000"/>
      <name val="Calibri"/>
    </font>
    <font/>
    <font>
      <b/>
      <sz val="14.0"/>
      <color theme="1"/>
      <name val="Arial"/>
    </font>
    <font>
      <sz val="12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2" numFmtId="0" xfId="0" applyAlignment="1" applyFont="1">
      <alignment horizontal="right" readingOrder="0" shrinkToFit="0" vertical="bottom" wrapText="0"/>
    </xf>
    <xf borderId="1" fillId="0" fontId="1" numFmtId="0" xfId="0" applyAlignment="1" applyBorder="1" applyFont="1">
      <alignment readingOrder="0" shrinkToFit="0" vertical="bottom" wrapText="0"/>
    </xf>
    <xf borderId="2" fillId="0" fontId="1" numFmtId="0" xfId="0" applyAlignment="1" applyBorder="1" applyFont="1">
      <alignment readingOrder="0" shrinkToFit="0" vertical="bottom" wrapText="0"/>
    </xf>
    <xf borderId="0" fillId="0" fontId="3" numFmtId="0" xfId="0" applyAlignment="1" applyFont="1">
      <alignment readingOrder="0"/>
    </xf>
    <xf borderId="3" fillId="0" fontId="2" numFmtId="0" xfId="0" applyAlignment="1" applyBorder="1" applyFont="1">
      <alignment readingOrder="0" shrinkToFit="0" vertical="bottom" wrapText="0"/>
    </xf>
    <xf borderId="4" fillId="0" fontId="2" numFmtId="0" xfId="0" applyAlignment="1" applyBorder="1" applyFont="1">
      <alignment horizontal="right" readingOrder="0" shrinkToFit="0" vertical="bottom" wrapText="0"/>
    </xf>
    <xf borderId="4" fillId="0" fontId="2" numFmtId="164" xfId="0" applyAlignment="1" applyBorder="1" applyFont="1" applyNumberFormat="1">
      <alignment horizontal="right" readingOrder="0" shrinkToFit="0" vertical="bottom" wrapText="0"/>
    </xf>
    <xf borderId="1" fillId="0" fontId="4" numFmtId="0" xfId="0" applyAlignment="1" applyBorder="1" applyFont="1">
      <alignment readingOrder="0"/>
    </xf>
    <xf borderId="1" fillId="0" fontId="4" numFmtId="1" xfId="0" applyBorder="1" applyFont="1" applyNumberFormat="1"/>
    <xf borderId="0" fillId="0" fontId="4" numFmtId="0" xfId="0" applyAlignment="1" applyFont="1">
      <alignment readingOrder="0"/>
    </xf>
    <xf borderId="4" fillId="0" fontId="2" numFmtId="0" xfId="0" applyAlignment="1" applyBorder="1" applyFont="1">
      <alignment shrinkToFit="0" vertical="bottom" wrapText="0"/>
    </xf>
    <xf borderId="4" fillId="2" fontId="2" numFmtId="0" xfId="0" applyAlignment="1" applyBorder="1" applyFill="1" applyFont="1">
      <alignment horizontal="right" readingOrder="0" shrinkToFit="0" vertical="bottom" wrapText="0"/>
    </xf>
    <xf borderId="4" fillId="0" fontId="2" numFmtId="1" xfId="0" applyAlignment="1" applyBorder="1" applyFont="1" applyNumberFormat="1">
      <alignment horizontal="right" readingOrder="0" shrinkToFit="0" vertical="bottom" wrapText="0"/>
    </xf>
    <xf borderId="1" fillId="0" fontId="2" numFmtId="0" xfId="0" applyAlignment="1" applyBorder="1" applyFont="1">
      <alignment horizontal="left" readingOrder="0" shrinkToFit="0" vertical="bottom" wrapText="0"/>
    </xf>
    <xf borderId="1" fillId="0" fontId="2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readingOrder="0" shrinkToFit="0" vertical="bottom" wrapText="0"/>
    </xf>
    <xf borderId="0" fillId="0" fontId="2" numFmtId="1" xfId="0" applyAlignment="1" applyFont="1" applyNumberFormat="1">
      <alignment shrinkToFit="0" vertical="bottom" wrapText="0"/>
    </xf>
    <xf borderId="0" fillId="0" fontId="2" numFmtId="2" xfId="0" applyAlignment="1" applyFont="1" applyNumberFormat="1">
      <alignment horizontal="right" readingOrder="0" shrinkToFit="0" vertical="bottom" wrapText="0"/>
    </xf>
    <xf borderId="1" fillId="0" fontId="2" numFmtId="1" xfId="0" applyAlignment="1" applyBorder="1" applyFont="1" applyNumberFormat="1">
      <alignment shrinkToFit="0" vertical="bottom" wrapText="0"/>
    </xf>
    <xf borderId="1" fillId="0" fontId="4" numFmtId="164" xfId="0" applyBorder="1" applyFont="1" applyNumberFormat="1"/>
    <xf borderId="2" fillId="0" fontId="2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readingOrder="0" shrinkToFit="0" vertical="bottom" wrapText="0"/>
    </xf>
    <xf borderId="0" fillId="0" fontId="4" numFmtId="1" xfId="0" applyFont="1" applyNumberFormat="1"/>
    <xf borderId="0" fillId="0" fontId="4" numFmtId="0" xfId="0" applyFont="1"/>
    <xf borderId="0" fillId="0" fontId="4" numFmtId="2" xfId="0" applyFont="1" applyNumberFormat="1"/>
    <xf borderId="1" fillId="0" fontId="4" numFmtId="0" xfId="0" applyBorder="1" applyFont="1"/>
    <xf borderId="1" fillId="0" fontId="3" numFmtId="0" xfId="0" applyAlignment="1" applyBorder="1" applyFont="1">
      <alignment readingOrder="0"/>
    </xf>
    <xf borderId="1" fillId="0" fontId="4" numFmtId="165" xfId="0" applyAlignment="1" applyBorder="1" applyFont="1" applyNumberFormat="1">
      <alignment readingOrder="0"/>
    </xf>
    <xf borderId="1" fillId="0" fontId="4" numFmtId="165" xfId="0" applyBorder="1" applyFont="1" applyNumberFormat="1"/>
    <xf borderId="0" fillId="0" fontId="4" numFmtId="165" xfId="0" applyFont="1" applyNumberFormat="1"/>
    <xf borderId="0" fillId="0" fontId="4" numFmtId="164" xfId="0" applyFont="1" applyNumberFormat="1"/>
    <xf borderId="1" fillId="0" fontId="2" numFmtId="0" xfId="0" applyAlignment="1" applyBorder="1" applyFont="1">
      <alignment horizontal="right" readingOrder="0" shrinkToFit="0" vertical="bottom" wrapText="0"/>
    </xf>
    <xf borderId="4" fillId="0" fontId="2" numFmtId="2" xfId="0" applyAlignment="1" applyBorder="1" applyFont="1" applyNumberFormat="1">
      <alignment horizontal="right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2" numFmtId="164" xfId="0" applyAlignment="1" applyFont="1" applyNumberFormat="1">
      <alignment horizontal="right" readingOrder="0" shrinkToFit="0" vertical="bottom" wrapText="0"/>
    </xf>
    <xf borderId="0" fillId="0" fontId="6" numFmtId="0" xfId="0" applyAlignment="1" applyFont="1">
      <alignment readingOrder="0" shrinkToFit="0" vertical="bottom" wrapText="0"/>
    </xf>
    <xf borderId="0" fillId="0" fontId="7" numFmtId="0" xfId="0" applyAlignment="1" applyFont="1">
      <alignment readingOrder="0" shrinkToFit="0" vertical="bottom" wrapText="0"/>
    </xf>
    <xf borderId="0" fillId="0" fontId="7" numFmtId="2" xfId="0" applyAlignment="1" applyFont="1" applyNumberFormat="1">
      <alignment horizontal="right" readingOrder="0" shrinkToFit="0" vertical="bottom" wrapText="0"/>
    </xf>
    <xf borderId="3" fillId="2" fontId="2" numFmtId="0" xfId="0" applyAlignment="1" applyBorder="1" applyFont="1">
      <alignment readingOrder="0" shrinkToFit="0" vertical="bottom" wrapText="0"/>
    </xf>
    <xf borderId="5" fillId="0" fontId="2" numFmtId="0" xfId="0" applyAlignment="1" applyBorder="1" applyFont="1">
      <alignment horizontal="center" readingOrder="0" shrinkToFit="0" wrapText="0"/>
    </xf>
    <xf borderId="5" fillId="0" fontId="8" numFmtId="0" xfId="0" applyBorder="1" applyFont="1"/>
    <xf borderId="3" fillId="0" fontId="2" numFmtId="2" xfId="0" applyAlignment="1" applyBorder="1" applyFont="1" applyNumberFormat="1">
      <alignment horizontal="right" readingOrder="0" shrinkToFit="0" vertical="bottom" wrapText="0"/>
    </xf>
    <xf borderId="3" fillId="0" fontId="1" numFmtId="2" xfId="0" applyAlignment="1" applyBorder="1" applyFont="1" applyNumberFormat="1">
      <alignment horizontal="right" readingOrder="0" shrinkToFit="0" vertical="bottom" wrapText="0"/>
    </xf>
    <xf borderId="0" fillId="0" fontId="9" numFmtId="0" xfId="0" applyAlignment="1" applyFont="1">
      <alignment readingOrder="0"/>
    </xf>
    <xf borderId="6" fillId="0" fontId="4" numFmtId="0" xfId="0" applyAlignment="1" applyBorder="1" applyFont="1">
      <alignment readingOrder="0"/>
    </xf>
    <xf borderId="7" fillId="0" fontId="4" numFmtId="0" xfId="0" applyAlignment="1" applyBorder="1" applyFont="1">
      <alignment readingOrder="0"/>
    </xf>
    <xf borderId="8" fillId="0" fontId="4" numFmtId="0" xfId="0" applyAlignment="1" applyBorder="1" applyFont="1">
      <alignment readingOrder="0"/>
    </xf>
    <xf borderId="5" fillId="0" fontId="4" numFmtId="0" xfId="0" applyAlignment="1" applyBorder="1" applyFont="1">
      <alignment readingOrder="0"/>
    </xf>
    <xf borderId="9" fillId="0" fontId="4" numFmtId="0" xfId="0" applyAlignment="1" applyBorder="1" applyFont="1">
      <alignment readingOrder="0"/>
    </xf>
    <xf borderId="10" fillId="0" fontId="4" numFmtId="0" xfId="0" applyAlignment="1" applyBorder="1" applyFont="1">
      <alignment readingOrder="0"/>
    </xf>
    <xf borderId="11" fillId="0" fontId="4" numFmtId="0" xfId="0" applyAlignment="1" applyBorder="1" applyFont="1">
      <alignment readingOrder="0"/>
    </xf>
    <xf borderId="4" fillId="0" fontId="4" numFmtId="0" xfId="0" applyAlignment="1" applyBorder="1" applyFont="1">
      <alignment readingOrder="0"/>
    </xf>
    <xf borderId="1" fillId="3" fontId="4" numFmtId="0" xfId="0" applyBorder="1" applyFill="1" applyFont="1"/>
    <xf borderId="1" fillId="3" fontId="4" numFmtId="0" xfId="0" applyAlignment="1" applyBorder="1" applyFont="1">
      <alignment readingOrder="0"/>
    </xf>
    <xf borderId="1" fillId="0" fontId="4" numFmtId="11" xfId="0" applyAlignment="1" applyBorder="1" applyFont="1" applyNumberFormat="1">
      <alignment readingOrder="0"/>
    </xf>
    <xf borderId="1" fillId="0" fontId="4" numFmtId="11" xfId="0" applyBorder="1" applyFont="1" applyNumberFormat="1"/>
    <xf borderId="6" fillId="0" fontId="10" numFmtId="0" xfId="0" applyAlignment="1" applyBorder="1" applyFont="1">
      <alignment readingOrder="0"/>
    </xf>
    <xf borderId="7" fillId="0" fontId="10" numFmtId="0" xfId="0" applyBorder="1" applyFont="1"/>
    <xf borderId="8" fillId="0" fontId="10" numFmtId="0" xfId="0" applyBorder="1" applyFont="1"/>
    <xf borderId="1" fillId="2" fontId="4" numFmtId="0" xfId="0" applyAlignment="1" applyBorder="1" applyFont="1">
      <alignment readingOrder="0"/>
    </xf>
    <xf borderId="1" fillId="2" fontId="4" numFmtId="165" xfId="0" applyBorder="1" applyFont="1" applyNumberFormat="1"/>
    <xf borderId="10" fillId="0" fontId="10" numFmtId="0" xfId="0" applyAlignment="1" applyBorder="1" applyFont="1">
      <alignment readingOrder="0"/>
    </xf>
    <xf borderId="11" fillId="0" fontId="10" numFmtId="0" xfId="0" applyBorder="1" applyFont="1"/>
    <xf borderId="4" fillId="0" fontId="10" numFmtId="0" xfId="0" applyBorder="1" applyFont="1"/>
    <xf borderId="6" fillId="4" fontId="4" numFmtId="0" xfId="0" applyAlignment="1" applyBorder="1" applyFill="1" applyFont="1">
      <alignment readingOrder="0"/>
    </xf>
    <xf borderId="7" fillId="4" fontId="4" numFmtId="0" xfId="0" applyBorder="1" applyFont="1"/>
    <xf borderId="8" fillId="4" fontId="4" numFmtId="0" xfId="0" applyBorder="1" applyFont="1"/>
    <xf borderId="1" fillId="5" fontId="4" numFmtId="2" xfId="0" applyBorder="1" applyFill="1" applyFont="1" applyNumberFormat="1"/>
    <xf borderId="0" fillId="5" fontId="4" numFmtId="2" xfId="0" applyFont="1" applyNumberFormat="1"/>
    <xf borderId="0" fillId="4" fontId="4" numFmtId="0" xfId="0" applyAlignment="1" applyFont="1">
      <alignment readingOrder="0"/>
    </xf>
    <xf borderId="0" fillId="4" fontId="4" numFmtId="0" xfId="0" applyFont="1"/>
    <xf borderId="9" fillId="4" fontId="4" numFmtId="0" xfId="0" applyBorder="1" applyFont="1"/>
    <xf borderId="1" fillId="2" fontId="4" numFmtId="2" xfId="0" applyBorder="1" applyFont="1" applyNumberFormat="1"/>
    <xf borderId="10" fillId="4" fontId="4" numFmtId="0" xfId="0" applyAlignment="1" applyBorder="1" applyFont="1">
      <alignment readingOrder="0"/>
    </xf>
    <xf borderId="11" fillId="4" fontId="4" numFmtId="0" xfId="0" applyBorder="1" applyFont="1"/>
    <xf borderId="4" fillId="4" fontId="4" numFmtId="0" xfId="0" applyBorder="1" applyFont="1"/>
    <xf borderId="1" fillId="0" fontId="4" numFmtId="2" xfId="0" applyBorder="1" applyFont="1" applyNumberFormat="1"/>
    <xf borderId="1" fillId="0" fontId="10" numFmtId="0" xfId="0" applyAlignment="1" applyBorder="1" applyFont="1">
      <alignment readingOrder="0"/>
    </xf>
    <xf borderId="1" fillId="0" fontId="4" numFmtId="4" xfId="0" applyBorder="1" applyFont="1" applyNumberFormat="1"/>
    <xf borderId="1" fillId="2" fontId="4" numFmtId="11" xfId="0" applyAlignment="1" applyBorder="1" applyFont="1" applyNumberFormat="1">
      <alignment readingOrder="0"/>
    </xf>
    <xf borderId="1" fillId="2" fontId="4" numFmtId="11" xfId="0" applyBorder="1" applyFont="1" applyNumberFormat="1"/>
    <xf borderId="1" fillId="2" fontId="4" numFmtId="4" xfId="0" applyBorder="1" applyFont="1" applyNumberFormat="1"/>
    <xf borderId="1" fillId="5" fontId="4" numFmtId="4" xfId="0" applyBorder="1" applyFont="1" applyNumberFormat="1"/>
    <xf borderId="6" fillId="6" fontId="4" numFmtId="0" xfId="0" applyAlignment="1" applyBorder="1" applyFill="1" applyFont="1">
      <alignment readingOrder="0"/>
    </xf>
    <xf borderId="7" fillId="6" fontId="4" numFmtId="0" xfId="0" applyBorder="1" applyFont="1"/>
    <xf borderId="8" fillId="6" fontId="4" numFmtId="0" xfId="0" applyBorder="1" applyFont="1"/>
    <xf borderId="5" fillId="6" fontId="4" numFmtId="0" xfId="0" applyAlignment="1" applyBorder="1" applyFont="1">
      <alignment readingOrder="0"/>
    </xf>
    <xf borderId="0" fillId="6" fontId="4" numFmtId="0" xfId="0" applyFont="1"/>
    <xf borderId="9" fillId="6" fontId="4" numFmtId="0" xfId="0" applyBorder="1" applyFont="1"/>
    <xf borderId="10" fillId="6" fontId="4" numFmtId="0" xfId="0" applyAlignment="1" applyBorder="1" applyFont="1">
      <alignment readingOrder="0"/>
    </xf>
    <xf borderId="11" fillId="6" fontId="4" numFmtId="0" xfId="0" applyBorder="1" applyFont="1"/>
    <xf borderId="4" fillId="6" fontId="4" numFmtId="0" xfId="0" applyBorder="1" applyFont="1"/>
    <xf borderId="0" fillId="0" fontId="4" numFmtId="4" xfId="0" applyAlignment="1" applyFont="1" applyNumberFormat="1">
      <alignment readingOrder="0"/>
    </xf>
    <xf borderId="1" fillId="2" fontId="4" numFmtId="2" xfId="0" applyAlignment="1" applyBorder="1" applyFont="1" applyNumberFormat="1">
      <alignment readingOrder="0"/>
    </xf>
    <xf borderId="1" fillId="2" fontId="4" numFmtId="165" xfId="0" applyAlignment="1" applyBorder="1" applyFont="1" applyNumberForma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333375</xdr:colOff>
      <xdr:row>0</xdr:row>
      <xdr:rowOff>38100</xdr:rowOff>
    </xdr:from>
    <xdr:ext cx="4019550" cy="1752600"/>
    <xdr:pic>
      <xdr:nvPicPr>
        <xdr:cNvPr id="0" name="image1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542925</xdr:colOff>
      <xdr:row>82</xdr:row>
      <xdr:rowOff>152400</xdr:rowOff>
    </xdr:from>
    <xdr:ext cx="3086100" cy="2200275"/>
    <xdr:pic>
      <xdr:nvPicPr>
        <xdr:cNvPr id="0" name="image2.png" title="Immagin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28575</xdr:colOff>
      <xdr:row>84</xdr:row>
      <xdr:rowOff>200025</xdr:rowOff>
    </xdr:from>
    <xdr:ext cx="3028950" cy="2152650"/>
    <xdr:pic>
      <xdr:nvPicPr>
        <xdr:cNvPr id="0" name="image6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1647825</xdr:colOff>
      <xdr:row>30</xdr:row>
      <xdr:rowOff>47625</xdr:rowOff>
    </xdr:from>
    <xdr:ext cx="5438775" cy="676275"/>
    <xdr:pic>
      <xdr:nvPicPr>
        <xdr:cNvPr id="0" name="image3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200025</xdr:rowOff>
    </xdr:from>
    <xdr:ext cx="4857750" cy="2933700"/>
    <xdr:pic>
      <xdr:nvPicPr>
        <xdr:cNvPr id="0" name="image4.png" title="Immagin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400050</xdr:colOff>
      <xdr:row>1</xdr:row>
      <xdr:rowOff>57150</xdr:rowOff>
    </xdr:from>
    <xdr:ext cx="3571875" cy="2752725"/>
    <xdr:pic>
      <xdr:nvPicPr>
        <xdr:cNvPr id="0" name="image5.png" title="Immagin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86"/>
    <col customWidth="1" min="2" max="2" width="8.43"/>
    <col customWidth="1" min="3" max="3" width="9.71"/>
    <col customWidth="1" min="4" max="4" width="8.0"/>
    <col customWidth="1" min="5" max="5" width="9.14"/>
    <col customWidth="1" min="6" max="6" width="7.86"/>
    <col customWidth="1" min="7" max="7" width="3.86"/>
    <col customWidth="1" min="8" max="8" width="24.71"/>
    <col customWidth="1" min="9" max="9" width="9.14"/>
    <col customWidth="1" min="10" max="10" width="8.57"/>
    <col customWidth="1" min="11" max="12" width="8.71"/>
    <col customWidth="1" min="13" max="13" width="10.14"/>
    <col customWidth="1" min="14" max="14" width="7.43"/>
  </cols>
  <sheetData>
    <row r="1">
      <c r="A1" s="1" t="s">
        <v>0</v>
      </c>
      <c r="B1" s="2"/>
      <c r="C1" s="2"/>
      <c r="D1" s="2"/>
      <c r="E1" s="2"/>
      <c r="F1" s="2"/>
      <c r="G1" s="2"/>
    </row>
    <row r="2">
      <c r="A2" s="2"/>
      <c r="B2" s="2"/>
      <c r="C2" s="2"/>
      <c r="D2" s="2"/>
      <c r="E2" s="2"/>
      <c r="F2" s="2"/>
      <c r="G2" s="2"/>
    </row>
    <row r="3">
      <c r="A3" s="3" t="s">
        <v>1</v>
      </c>
      <c r="B3" s="4">
        <v>-7.0</v>
      </c>
      <c r="C3" s="3" t="s">
        <v>2</v>
      </c>
      <c r="D3" s="3">
        <v>5.0</v>
      </c>
      <c r="E3" s="3" t="s">
        <v>2</v>
      </c>
      <c r="F3" s="2"/>
      <c r="G3" s="2"/>
    </row>
    <row r="4">
      <c r="A4" s="3" t="s">
        <v>3</v>
      </c>
      <c r="B4" s="4">
        <v>15.0</v>
      </c>
      <c r="C4" s="3" t="s">
        <v>2</v>
      </c>
      <c r="D4" s="2"/>
      <c r="E4" s="2"/>
      <c r="F4" s="2"/>
      <c r="G4" s="2"/>
    </row>
    <row r="5">
      <c r="A5" s="3" t="s">
        <v>4</v>
      </c>
      <c r="B5" s="4">
        <v>10.0</v>
      </c>
      <c r="C5" s="3" t="s">
        <v>2</v>
      </c>
      <c r="D5" s="2"/>
      <c r="E5" s="2"/>
      <c r="F5" s="2"/>
      <c r="G5" s="2"/>
    </row>
    <row r="6">
      <c r="A6" s="3" t="s">
        <v>5</v>
      </c>
      <c r="B6" s="4">
        <v>10.0</v>
      </c>
      <c r="C6" s="3" t="s">
        <v>2</v>
      </c>
      <c r="D6" s="2"/>
      <c r="E6" s="2"/>
      <c r="F6" s="2"/>
      <c r="G6" s="2"/>
    </row>
    <row r="7">
      <c r="A7" s="2"/>
      <c r="B7" s="2"/>
      <c r="C7" s="2"/>
      <c r="D7" s="2"/>
      <c r="E7" s="2"/>
      <c r="F7" s="2"/>
      <c r="G7" s="2"/>
    </row>
    <row r="8">
      <c r="A8" s="1" t="s">
        <v>6</v>
      </c>
      <c r="B8" s="2"/>
      <c r="C8" s="2"/>
      <c r="D8" s="2"/>
      <c r="E8" s="2"/>
      <c r="F8" s="2"/>
      <c r="G8" s="2"/>
    </row>
    <row r="9">
      <c r="A9" s="5" t="s">
        <v>7</v>
      </c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2"/>
      <c r="M9" s="7" t="s">
        <v>13</v>
      </c>
    </row>
    <row r="10">
      <c r="A10" s="8" t="s">
        <v>14</v>
      </c>
      <c r="B10" s="9">
        <v>9.15</v>
      </c>
      <c r="C10" s="9">
        <v>1.51</v>
      </c>
      <c r="D10" s="9">
        <v>1.08</v>
      </c>
      <c r="E10" s="9">
        <v>1.2</v>
      </c>
      <c r="F10" s="10">
        <f>B10*C10*D10*E10*B4</f>
        <v>268.59276</v>
      </c>
      <c r="G10" s="2"/>
      <c r="H10" s="5" t="s">
        <v>15</v>
      </c>
      <c r="I10" s="6" t="s">
        <v>16</v>
      </c>
      <c r="J10" s="6" t="s">
        <v>17</v>
      </c>
      <c r="K10" s="6" t="s">
        <v>18</v>
      </c>
      <c r="L10" s="2"/>
      <c r="M10" s="11" t="s">
        <v>19</v>
      </c>
      <c r="N10" s="12">
        <f>0.34*2*(B13*3)*($B$4)</f>
        <v>436.356</v>
      </c>
      <c r="O10" s="13" t="s">
        <v>20</v>
      </c>
    </row>
    <row r="11">
      <c r="A11" s="8" t="s">
        <v>21</v>
      </c>
      <c r="B11" s="9">
        <v>1.8</v>
      </c>
      <c r="C11" s="9">
        <v>1.38</v>
      </c>
      <c r="D11" s="9">
        <v>1.08</v>
      </c>
      <c r="E11" s="9">
        <v>1.2</v>
      </c>
      <c r="F11" s="9">
        <v>87.0</v>
      </c>
      <c r="G11" s="2"/>
      <c r="H11" s="8" t="s">
        <v>22</v>
      </c>
      <c r="I11" s="14"/>
      <c r="J11" s="14"/>
      <c r="K11" s="15">
        <v>0.04</v>
      </c>
      <c r="L11" s="2"/>
      <c r="M11" s="11" t="s">
        <v>23</v>
      </c>
      <c r="N11" s="12">
        <f>(B21*3)*0.34*0.3*$B$4</f>
        <v>83.4003</v>
      </c>
      <c r="O11" s="13" t="s">
        <v>20</v>
      </c>
    </row>
    <row r="12">
      <c r="A12" s="8" t="s">
        <v>24</v>
      </c>
      <c r="B12" s="9">
        <v>2.85</v>
      </c>
      <c r="C12" s="9">
        <v>2.7</v>
      </c>
      <c r="D12" s="9">
        <v>1.08</v>
      </c>
      <c r="E12" s="9">
        <v>1.2</v>
      </c>
      <c r="F12" s="9">
        <v>269.0</v>
      </c>
      <c r="G12" s="2"/>
      <c r="H12" s="8" t="s">
        <v>25</v>
      </c>
      <c r="I12" s="9">
        <v>0.01</v>
      </c>
      <c r="J12" s="9">
        <v>0.9</v>
      </c>
      <c r="K12" s="9">
        <v>0.011</v>
      </c>
      <c r="L12" s="2"/>
      <c r="M12" s="11" t="s">
        <v>26</v>
      </c>
      <c r="N12" s="12">
        <f>(B28*3)*0.34*0.3*$B$4</f>
        <v>68.1615</v>
      </c>
      <c r="O12" s="13" t="s">
        <v>20</v>
      </c>
    </row>
    <row r="13">
      <c r="A13" s="8" t="s">
        <v>27</v>
      </c>
      <c r="B13" s="9">
        <v>14.26</v>
      </c>
      <c r="C13" s="9">
        <v>0.68</v>
      </c>
      <c r="D13" s="9">
        <v>1.0</v>
      </c>
      <c r="E13" s="9">
        <v>1.2</v>
      </c>
      <c r="F13" s="16">
        <f>B13*C13*D13*E13*$B$5</f>
        <v>116.3616</v>
      </c>
      <c r="G13" s="2"/>
      <c r="H13" s="8" t="s">
        <v>28</v>
      </c>
      <c r="I13" s="9">
        <v>0.28</v>
      </c>
      <c r="J13" s="9">
        <v>0.6</v>
      </c>
      <c r="K13" s="9">
        <v>0.467</v>
      </c>
      <c r="L13" s="2"/>
      <c r="M13" s="11" t="s">
        <v>29</v>
      </c>
      <c r="N13" s="12">
        <f>(6.21*3)*0.34*0.3*$B$4</f>
        <v>28.5039</v>
      </c>
      <c r="O13" s="13" t="s">
        <v>20</v>
      </c>
    </row>
    <row r="14">
      <c r="A14" s="17" t="s">
        <v>30</v>
      </c>
      <c r="B14" s="18">
        <f>3.1*3</f>
        <v>9.3</v>
      </c>
      <c r="C14" s="19">
        <v>1.51</v>
      </c>
      <c r="D14" s="19">
        <v>1.0</v>
      </c>
      <c r="E14" s="19">
        <v>1.2</v>
      </c>
      <c r="F14" s="12">
        <f>B14*C14*D14*E14*10</f>
        <v>168.516</v>
      </c>
      <c r="G14" s="3"/>
      <c r="H14" s="8" t="s">
        <v>31</v>
      </c>
      <c r="I14" s="9">
        <v>0.01</v>
      </c>
      <c r="J14" s="9">
        <v>0.7</v>
      </c>
      <c r="K14" s="9">
        <v>0.014</v>
      </c>
      <c r="L14" s="2"/>
      <c r="M14" s="11" t="s">
        <v>32</v>
      </c>
      <c r="N14" s="12">
        <f>(6*3)*0.34*1*$B$4*2</f>
        <v>183.6</v>
      </c>
      <c r="O14" s="13" t="s">
        <v>20</v>
      </c>
    </row>
    <row r="15">
      <c r="F15" s="20">
        <f>SUM(F10:F14)</f>
        <v>909.47036</v>
      </c>
      <c r="G15" s="2"/>
      <c r="H15" s="8" t="s">
        <v>33</v>
      </c>
      <c r="I15" s="14"/>
      <c r="J15" s="14"/>
      <c r="K15" s="15">
        <v>0.13</v>
      </c>
      <c r="L15" s="2"/>
      <c r="M15" s="11" t="s">
        <v>34</v>
      </c>
      <c r="N15" s="12">
        <f>(22.54*3)*0.34*0.3*$B$4</f>
        <v>103.4586</v>
      </c>
      <c r="O15" s="13" t="s">
        <v>20</v>
      </c>
    </row>
    <row r="16">
      <c r="A16" s="1" t="s">
        <v>35</v>
      </c>
      <c r="B16" s="2"/>
      <c r="C16" s="2"/>
      <c r="D16" s="2"/>
      <c r="E16" s="2"/>
      <c r="G16" s="2"/>
      <c r="H16" s="2"/>
      <c r="I16" s="2"/>
      <c r="J16" s="3" t="s">
        <v>36</v>
      </c>
      <c r="K16" s="4">
        <v>0.662</v>
      </c>
      <c r="L16" s="2"/>
      <c r="M16" s="11" t="s">
        <v>37</v>
      </c>
      <c r="N16" s="12">
        <f>(24.125*3)*0.34*0.3*$B$4</f>
        <v>110.73375</v>
      </c>
      <c r="O16" s="13" t="s">
        <v>20</v>
      </c>
    </row>
    <row r="17">
      <c r="A17" s="5" t="s">
        <v>7</v>
      </c>
      <c r="B17" s="6" t="s">
        <v>8</v>
      </c>
      <c r="C17" s="6" t="s">
        <v>9</v>
      </c>
      <c r="D17" s="6" t="s">
        <v>10</v>
      </c>
      <c r="E17" s="6" t="s">
        <v>11</v>
      </c>
      <c r="F17" s="6" t="s">
        <v>12</v>
      </c>
      <c r="G17" s="2"/>
      <c r="H17" s="2"/>
      <c r="I17" s="2"/>
      <c r="J17" s="3" t="s">
        <v>38</v>
      </c>
      <c r="K17" s="21">
        <v>1.51</v>
      </c>
      <c r="L17" s="3" t="s">
        <v>39</v>
      </c>
      <c r="M17" s="11" t="s">
        <v>32</v>
      </c>
      <c r="N17" s="12">
        <f>(9.12*3)*0.34*1*$B$4*2</f>
        <v>279.072</v>
      </c>
      <c r="O17" s="13" t="s">
        <v>20</v>
      </c>
    </row>
    <row r="18">
      <c r="A18" s="19" t="s">
        <v>40</v>
      </c>
      <c r="B18" s="18">
        <f>4.6*3-B20</f>
        <v>11.13</v>
      </c>
      <c r="C18" s="19">
        <v>1.51</v>
      </c>
      <c r="D18" s="19">
        <v>1.13</v>
      </c>
      <c r="E18" s="19">
        <v>1.2</v>
      </c>
      <c r="F18" s="22">
        <f t="shared" ref="F18:F20" si="1">B18*C18*D18*E18*$B$4</f>
        <v>341.840142</v>
      </c>
      <c r="G18" s="2"/>
      <c r="H18" s="2"/>
      <c r="I18" s="2"/>
      <c r="J18" s="2"/>
      <c r="K18" s="2"/>
      <c r="L18" s="2"/>
      <c r="M18" s="11" t="s">
        <v>41</v>
      </c>
      <c r="N18" s="23">
        <f>(4*3)*0.34*0.3*$B$4</f>
        <v>18.36</v>
      </c>
      <c r="O18" s="13" t="s">
        <v>20</v>
      </c>
    </row>
    <row r="19">
      <c r="A19" s="19" t="s">
        <v>42</v>
      </c>
      <c r="B19" s="18">
        <f>0.9*3</f>
        <v>2.7</v>
      </c>
      <c r="C19" s="19">
        <v>1.51</v>
      </c>
      <c r="D19" s="19">
        <v>1.0</v>
      </c>
      <c r="E19" s="19">
        <v>1.2</v>
      </c>
      <c r="F19" s="22">
        <f t="shared" si="1"/>
        <v>73.386</v>
      </c>
      <c r="G19" s="2"/>
      <c r="H19" s="5" t="s">
        <v>43</v>
      </c>
      <c r="I19" s="24"/>
      <c r="J19" s="25" t="s">
        <v>44</v>
      </c>
      <c r="K19" s="25" t="s">
        <v>18</v>
      </c>
      <c r="L19" s="2"/>
      <c r="M19" s="13" t="s">
        <v>45</v>
      </c>
      <c r="N19" s="26">
        <f>SUM(N10:N18)</f>
        <v>1311.64605</v>
      </c>
      <c r="O19" s="13" t="s">
        <v>20</v>
      </c>
    </row>
    <row r="20">
      <c r="A20" s="19" t="s">
        <v>46</v>
      </c>
      <c r="B20" s="18">
        <f>1.78*1.5</f>
        <v>2.67</v>
      </c>
      <c r="C20" s="19">
        <v>2.7</v>
      </c>
      <c r="D20" s="19">
        <v>1.13</v>
      </c>
      <c r="E20" s="19">
        <v>1.2</v>
      </c>
      <c r="F20" s="22">
        <f t="shared" si="1"/>
        <v>146.63106</v>
      </c>
      <c r="G20" s="2"/>
      <c r="H20" s="8" t="s">
        <v>22</v>
      </c>
      <c r="I20" s="14"/>
      <c r="J20" s="14"/>
      <c r="K20" s="15">
        <v>0.04</v>
      </c>
      <c r="L20" s="2"/>
    </row>
    <row r="21">
      <c r="A21" s="19" t="s">
        <v>47</v>
      </c>
      <c r="B21" s="18">
        <f>3.95*4.6</f>
        <v>18.17</v>
      </c>
      <c r="C21" s="19">
        <v>0.68</v>
      </c>
      <c r="D21" s="19">
        <v>1.0</v>
      </c>
      <c r="E21" s="19">
        <v>1.2</v>
      </c>
      <c r="F21" s="16">
        <f>B21*C21*D21*E21*$B$5</f>
        <v>148.2672</v>
      </c>
      <c r="G21" s="2"/>
      <c r="H21" s="8" t="s">
        <v>48</v>
      </c>
      <c r="I21" s="14"/>
      <c r="J21" s="9">
        <v>1.8</v>
      </c>
      <c r="K21" s="9">
        <v>0.56</v>
      </c>
      <c r="L21" s="2"/>
      <c r="M21" s="13" t="s">
        <v>49</v>
      </c>
      <c r="N21" s="27">
        <f>B13+B21+B28+B35+B42+B52+B63+B80+B72</f>
        <v>119.275</v>
      </c>
      <c r="O21" s="13" t="s">
        <v>50</v>
      </c>
    </row>
    <row r="22">
      <c r="A22" s="17" t="s">
        <v>51</v>
      </c>
      <c r="B22" s="18">
        <f>3.96*3</f>
        <v>11.88</v>
      </c>
      <c r="C22" s="19">
        <v>1.51</v>
      </c>
      <c r="D22" s="19">
        <v>1.0</v>
      </c>
      <c r="E22" s="19">
        <v>1.2</v>
      </c>
      <c r="F22" s="12">
        <f>B22*C22*D22*E22*10</f>
        <v>215.2656</v>
      </c>
      <c r="G22" s="2"/>
      <c r="H22" s="8" t="s">
        <v>33</v>
      </c>
      <c r="I22" s="14"/>
      <c r="J22" s="14"/>
      <c r="K22" s="15">
        <v>0.13</v>
      </c>
      <c r="L22" s="2"/>
      <c r="M22" s="13" t="s">
        <v>52</v>
      </c>
      <c r="N22" s="13">
        <v>2.0</v>
      </c>
    </row>
    <row r="23">
      <c r="A23" s="2"/>
      <c r="B23" s="2"/>
      <c r="C23" s="2"/>
      <c r="D23" s="2"/>
      <c r="E23" s="2"/>
      <c r="F23" s="20">
        <f>SUM(F18:F22)</f>
        <v>925.390002</v>
      </c>
      <c r="G23" s="2"/>
      <c r="H23" s="2"/>
      <c r="I23" s="2"/>
      <c r="J23" s="3" t="s">
        <v>53</v>
      </c>
      <c r="K23" s="4">
        <v>0.73</v>
      </c>
      <c r="L23" s="2"/>
      <c r="M23" s="13" t="s">
        <v>54</v>
      </c>
      <c r="N23" s="28">
        <f>0.05*N21+3.5*(N22+1)</f>
        <v>16.46375</v>
      </c>
      <c r="O23" s="13" t="s">
        <v>55</v>
      </c>
    </row>
    <row r="24">
      <c r="A24" s="1" t="s">
        <v>56</v>
      </c>
      <c r="B24" s="2"/>
      <c r="C24" s="2"/>
      <c r="D24" s="2"/>
      <c r="E24" s="2"/>
      <c r="F24" s="2"/>
      <c r="G24" s="2"/>
      <c r="H24" s="2"/>
      <c r="I24" s="2"/>
      <c r="J24" s="3" t="s">
        <v>57</v>
      </c>
      <c r="K24" s="4">
        <v>1.38</v>
      </c>
      <c r="L24" s="3" t="s">
        <v>39</v>
      </c>
      <c r="N24" s="27">
        <f>N23*1.2/1000</f>
        <v>0.0197565</v>
      </c>
      <c r="O24" s="13" t="s">
        <v>58</v>
      </c>
    </row>
    <row r="25">
      <c r="A25" s="5" t="s">
        <v>7</v>
      </c>
      <c r="B25" s="6" t="s">
        <v>8</v>
      </c>
      <c r="C25" s="6" t="s">
        <v>9</v>
      </c>
      <c r="D25" s="6" t="s">
        <v>10</v>
      </c>
      <c r="E25" s="6" t="s">
        <v>11</v>
      </c>
      <c r="F25" s="6" t="s">
        <v>12</v>
      </c>
      <c r="G25" s="2"/>
      <c r="H25" s="2"/>
      <c r="I25" s="2"/>
      <c r="J25" s="2"/>
      <c r="K25" s="2"/>
      <c r="L25" s="2"/>
      <c r="M25" s="13" t="s">
        <v>59</v>
      </c>
      <c r="N25" s="26">
        <f>N24*1006*B4</f>
        <v>298.125585</v>
      </c>
      <c r="O25" s="13" t="s">
        <v>60</v>
      </c>
    </row>
    <row r="26">
      <c r="A26" s="11" t="s">
        <v>61</v>
      </c>
      <c r="B26" s="29">
        <f>3.3*3-B27</f>
        <v>8.4</v>
      </c>
      <c r="C26" s="11">
        <v>1.51</v>
      </c>
      <c r="D26" s="11">
        <v>1.08</v>
      </c>
      <c r="E26" s="11">
        <v>1.2</v>
      </c>
      <c r="F26" s="22">
        <f t="shared" ref="F26:F27" si="2">B26*C26*D26*E26*$B$4</f>
        <v>246.57696</v>
      </c>
      <c r="G26" s="2"/>
      <c r="H26" s="5" t="s">
        <v>62</v>
      </c>
      <c r="I26" s="24"/>
      <c r="J26" s="25" t="s">
        <v>63</v>
      </c>
      <c r="K26" s="25" t="s">
        <v>18</v>
      </c>
      <c r="L26" s="2"/>
    </row>
    <row r="27">
      <c r="A27" s="11" t="s">
        <v>64</v>
      </c>
      <c r="B27" s="11">
        <f>1*1.5</f>
        <v>1.5</v>
      </c>
      <c r="C27" s="11">
        <v>2.7</v>
      </c>
      <c r="D27" s="11">
        <v>1.08</v>
      </c>
      <c r="E27" s="11">
        <v>1.2</v>
      </c>
      <c r="F27" s="22">
        <f t="shared" si="2"/>
        <v>78.732</v>
      </c>
      <c r="G27" s="2"/>
      <c r="H27" s="8" t="s">
        <v>22</v>
      </c>
      <c r="I27" s="14"/>
      <c r="J27" s="14"/>
      <c r="K27" s="15">
        <v>0.04</v>
      </c>
      <c r="L27" s="2"/>
    </row>
    <row r="28">
      <c r="A28" s="11" t="s">
        <v>65</v>
      </c>
      <c r="B28" s="29">
        <f>3.3*4.5</f>
        <v>14.85</v>
      </c>
      <c r="C28" s="11">
        <v>0.68</v>
      </c>
      <c r="D28" s="11">
        <v>1.0</v>
      </c>
      <c r="E28" s="11">
        <v>1.2</v>
      </c>
      <c r="F28" s="22">
        <f>B28*C28*D28*E28*$B$6</f>
        <v>121.176</v>
      </c>
      <c r="G28" s="2"/>
      <c r="H28" s="8" t="s">
        <v>66</v>
      </c>
      <c r="I28" s="14"/>
      <c r="J28" s="9">
        <v>5.0</v>
      </c>
      <c r="K28" s="9">
        <v>0.2</v>
      </c>
      <c r="L28" s="2"/>
      <c r="M28" s="13">
        <v>6.0</v>
      </c>
      <c r="N28" s="13" t="s">
        <v>55</v>
      </c>
      <c r="O28" s="27">
        <f>M28/1000*1.2</f>
        <v>0.0072</v>
      </c>
      <c r="P28" s="13" t="s">
        <v>58</v>
      </c>
    </row>
    <row r="29">
      <c r="F29" s="20">
        <f>SUM(F26:F28)</f>
        <v>446.48496</v>
      </c>
      <c r="G29" s="2"/>
      <c r="H29" s="8" t="s">
        <v>33</v>
      </c>
      <c r="I29" s="14"/>
      <c r="J29" s="14"/>
      <c r="K29" s="15">
        <v>0.13</v>
      </c>
      <c r="L29" s="2"/>
      <c r="M29" s="13" t="s">
        <v>67</v>
      </c>
      <c r="O29" s="27">
        <f>O28*4</f>
        <v>0.0288</v>
      </c>
    </row>
    <row r="30">
      <c r="A30" s="7" t="s">
        <v>68</v>
      </c>
      <c r="F30" s="2"/>
      <c r="G30" s="2"/>
      <c r="H30" s="2"/>
      <c r="I30" s="2"/>
      <c r="J30" s="3" t="s">
        <v>53</v>
      </c>
      <c r="K30" s="4">
        <v>0.37</v>
      </c>
      <c r="L30" s="2"/>
      <c r="N30" s="27">
        <f>O29*1006*27</f>
        <v>782.2656</v>
      </c>
    </row>
    <row r="31">
      <c r="A31" s="5" t="s">
        <v>7</v>
      </c>
      <c r="B31" s="6" t="s">
        <v>8</v>
      </c>
      <c r="C31" s="6" t="s">
        <v>9</v>
      </c>
      <c r="D31" s="6" t="s">
        <v>10</v>
      </c>
      <c r="E31" s="6" t="s">
        <v>11</v>
      </c>
      <c r="F31" s="6" t="s">
        <v>12</v>
      </c>
      <c r="G31" s="2"/>
      <c r="H31" s="2"/>
      <c r="I31" s="2"/>
      <c r="J31" s="3" t="s">
        <v>57</v>
      </c>
      <c r="K31" s="4">
        <v>2.7</v>
      </c>
      <c r="L31" s="3" t="s">
        <v>39</v>
      </c>
    </row>
    <row r="32">
      <c r="A32" s="11" t="s">
        <v>40</v>
      </c>
      <c r="B32" s="29">
        <f>4.6*3-B33-B34</f>
        <v>10.5</v>
      </c>
      <c r="C32" s="11">
        <v>1.51</v>
      </c>
      <c r="D32" s="11">
        <v>1.13</v>
      </c>
      <c r="E32" s="11">
        <v>1.2</v>
      </c>
      <c r="F32" s="22">
        <f t="shared" ref="F32:F34" si="3">B32*C32*D32*E32*$B$4</f>
        <v>322.4907</v>
      </c>
      <c r="G32" s="2"/>
    </row>
    <row r="33">
      <c r="A33" s="11" t="s">
        <v>69</v>
      </c>
      <c r="B33" s="11">
        <f>0.9*2</f>
        <v>1.8</v>
      </c>
      <c r="C33" s="11">
        <v>1.38</v>
      </c>
      <c r="D33" s="11">
        <v>1.13</v>
      </c>
      <c r="E33" s="11">
        <v>1.2</v>
      </c>
      <c r="F33" s="22">
        <f t="shared" si="3"/>
        <v>50.52456</v>
      </c>
      <c r="G33" s="2"/>
      <c r="H33" s="30" t="s">
        <v>70</v>
      </c>
      <c r="I33" s="5" t="s">
        <v>16</v>
      </c>
      <c r="J33" s="5" t="s">
        <v>17</v>
      </c>
      <c r="K33" s="5" t="s">
        <v>18</v>
      </c>
    </row>
    <row r="34">
      <c r="A34" s="11" t="s">
        <v>71</v>
      </c>
      <c r="B34" s="29">
        <f>1*1.5</f>
        <v>1.5</v>
      </c>
      <c r="C34" s="11">
        <v>2.7</v>
      </c>
      <c r="D34" s="11">
        <v>1.13</v>
      </c>
      <c r="E34" s="11">
        <v>1.2</v>
      </c>
      <c r="F34" s="22">
        <f t="shared" si="3"/>
        <v>82.377</v>
      </c>
      <c r="G34" s="2"/>
      <c r="H34" s="11" t="s">
        <v>72</v>
      </c>
      <c r="I34" s="29"/>
      <c r="J34" s="29"/>
      <c r="K34" s="31">
        <v>0.1</v>
      </c>
    </row>
    <row r="35">
      <c r="A35" s="11" t="s">
        <v>73</v>
      </c>
      <c r="B35" s="29">
        <f>4.6*1.35</f>
        <v>6.21</v>
      </c>
      <c r="C35" s="11">
        <v>0.68</v>
      </c>
      <c r="D35" s="11">
        <v>1.0</v>
      </c>
      <c r="E35" s="11">
        <v>1.2</v>
      </c>
      <c r="F35" s="22">
        <f>B35*C35*D35*E35*$B$6</f>
        <v>50.6736</v>
      </c>
      <c r="G35" s="2"/>
      <c r="H35" s="11" t="s">
        <v>74</v>
      </c>
      <c r="I35" s="11">
        <v>0.02</v>
      </c>
      <c r="J35" s="11">
        <v>0.7</v>
      </c>
      <c r="K35" s="32">
        <f t="shared" ref="K35:K36" si="4">I35/J35</f>
        <v>0.02857142857</v>
      </c>
    </row>
    <row r="36">
      <c r="F36" s="20">
        <f>SUM(F32:F35)</f>
        <v>506.06586</v>
      </c>
      <c r="G36" s="2"/>
      <c r="H36" s="11" t="s">
        <v>75</v>
      </c>
      <c r="I36" s="11">
        <v>0.2</v>
      </c>
      <c r="J36" s="11">
        <v>1.91</v>
      </c>
      <c r="K36" s="32">
        <f t="shared" si="4"/>
        <v>0.1047120419</v>
      </c>
    </row>
    <row r="37">
      <c r="A37" s="7" t="s">
        <v>76</v>
      </c>
      <c r="F37" s="2"/>
      <c r="G37" s="2"/>
      <c r="H37" s="11" t="s">
        <v>77</v>
      </c>
      <c r="I37" s="29"/>
      <c r="J37" s="29"/>
      <c r="K37" s="31">
        <v>0.16</v>
      </c>
    </row>
    <row r="38">
      <c r="A38" s="5" t="s">
        <v>7</v>
      </c>
      <c r="B38" s="6" t="s">
        <v>8</v>
      </c>
      <c r="C38" s="6" t="s">
        <v>9</v>
      </c>
      <c r="D38" s="6" t="s">
        <v>10</v>
      </c>
      <c r="E38" s="6" t="s">
        <v>11</v>
      </c>
      <c r="F38" s="6" t="s">
        <v>12</v>
      </c>
      <c r="G38" s="2"/>
      <c r="H38" s="11" t="s">
        <v>78</v>
      </c>
      <c r="I38" s="11">
        <v>0.03</v>
      </c>
      <c r="J38" s="11">
        <v>1.0</v>
      </c>
      <c r="K38" s="32">
        <f t="shared" ref="K38:K39" si="5">I38/J38</f>
        <v>0.03</v>
      </c>
    </row>
    <row r="39">
      <c r="A39" s="11" t="s">
        <v>79</v>
      </c>
      <c r="B39" s="29">
        <f>6*3-B41</f>
        <v>17.1</v>
      </c>
      <c r="C39" s="11">
        <v>1.51</v>
      </c>
      <c r="D39" s="11">
        <v>1.0</v>
      </c>
      <c r="E39" s="11">
        <v>1.2</v>
      </c>
      <c r="F39" s="22">
        <f t="shared" ref="F39:F41" si="6">B39*C39*D39*E39*$B$4</f>
        <v>464.778</v>
      </c>
      <c r="G39" s="2"/>
      <c r="H39" s="11" t="s">
        <v>80</v>
      </c>
      <c r="I39" s="11">
        <v>0.01</v>
      </c>
      <c r="J39" s="11">
        <v>0.99</v>
      </c>
      <c r="K39" s="32">
        <f t="shared" si="5"/>
        <v>0.0101010101</v>
      </c>
    </row>
    <row r="40">
      <c r="A40" s="11" t="s">
        <v>81</v>
      </c>
      <c r="B40" s="29">
        <f>1*3</f>
        <v>3</v>
      </c>
      <c r="C40" s="11">
        <v>1.51</v>
      </c>
      <c r="D40" s="11">
        <v>1.08</v>
      </c>
      <c r="E40" s="11">
        <v>1.2</v>
      </c>
      <c r="F40" s="22">
        <f t="shared" si="6"/>
        <v>88.0632</v>
      </c>
      <c r="G40" s="2"/>
      <c r="H40" s="11" t="s">
        <v>82</v>
      </c>
      <c r="I40" s="29"/>
      <c r="J40" s="29"/>
      <c r="K40" s="31">
        <v>0.04</v>
      </c>
    </row>
    <row r="41">
      <c r="A41" s="11" t="s">
        <v>83</v>
      </c>
      <c r="B41" s="29">
        <f>0.6*1.5</f>
        <v>0.9</v>
      </c>
      <c r="C41" s="11">
        <v>2.7</v>
      </c>
      <c r="D41" s="11">
        <v>1.0</v>
      </c>
      <c r="E41" s="11">
        <v>1.2</v>
      </c>
      <c r="F41" s="22">
        <f t="shared" si="6"/>
        <v>43.74</v>
      </c>
      <c r="G41" s="2"/>
      <c r="J41" s="13" t="s">
        <v>53</v>
      </c>
      <c r="K41" s="33">
        <f>SUM(K34:K40)</f>
        <v>0.4733844806</v>
      </c>
    </row>
    <row r="42">
      <c r="A42" s="11" t="s">
        <v>84</v>
      </c>
      <c r="B42" s="29">
        <f>6*1</f>
        <v>6</v>
      </c>
      <c r="C42" s="11">
        <v>0.68</v>
      </c>
      <c r="D42" s="11">
        <v>1.0</v>
      </c>
      <c r="E42" s="11">
        <v>1.2</v>
      </c>
      <c r="F42" s="22">
        <f>B42*C42*D42*E42*$B$6</f>
        <v>48.96</v>
      </c>
      <c r="G42" s="2"/>
      <c r="J42" s="13" t="s">
        <v>57</v>
      </c>
      <c r="K42" s="34">
        <f>1/K41</f>
        <v>2.11244779</v>
      </c>
    </row>
    <row r="43">
      <c r="F43" s="20">
        <f>SUM(F39:F42)</f>
        <v>645.5412</v>
      </c>
      <c r="G43" s="2"/>
    </row>
    <row r="44">
      <c r="F44" s="2"/>
      <c r="G44" s="2"/>
    </row>
    <row r="45">
      <c r="A45" s="7" t="s">
        <v>85</v>
      </c>
      <c r="B45" s="26">
        <f>F15+F23+F29+F36+F43</f>
        <v>3432.952382</v>
      </c>
      <c r="C45" s="13" t="s">
        <v>60</v>
      </c>
      <c r="F45" s="2"/>
      <c r="G45" s="2"/>
    </row>
    <row r="46">
      <c r="F46" s="2"/>
      <c r="G46" s="2"/>
    </row>
    <row r="47">
      <c r="A47" s="7" t="s">
        <v>86</v>
      </c>
      <c r="F47" s="2"/>
      <c r="G47" s="2"/>
    </row>
    <row r="48">
      <c r="A48" s="5" t="s">
        <v>7</v>
      </c>
      <c r="B48" s="6" t="s">
        <v>8</v>
      </c>
      <c r="C48" s="6" t="s">
        <v>9</v>
      </c>
      <c r="D48" s="6" t="s">
        <v>10</v>
      </c>
      <c r="E48" s="6" t="s">
        <v>11</v>
      </c>
      <c r="F48" s="6" t="s">
        <v>12</v>
      </c>
    </row>
    <row r="49">
      <c r="A49" s="19" t="s">
        <v>14</v>
      </c>
      <c r="B49" s="35">
        <f>4.6*3-B50</f>
        <v>10.5</v>
      </c>
      <c r="C49" s="35">
        <v>1.51</v>
      </c>
      <c r="D49" s="35">
        <v>1.08</v>
      </c>
      <c r="E49" s="35">
        <v>1.2</v>
      </c>
      <c r="F49" s="12">
        <f t="shared" ref="F49:F52" si="7">B49*C49*D49*E49*$B$4</f>
        <v>308.2212</v>
      </c>
    </row>
    <row r="50">
      <c r="A50" s="19" t="s">
        <v>87</v>
      </c>
      <c r="B50" s="35">
        <f>1.5*2.2</f>
        <v>3.3</v>
      </c>
      <c r="C50" s="35">
        <v>2.7</v>
      </c>
      <c r="D50" s="35">
        <v>1.08</v>
      </c>
      <c r="E50" s="35">
        <v>1.2</v>
      </c>
      <c r="F50" s="12">
        <f t="shared" si="7"/>
        <v>173.2104</v>
      </c>
    </row>
    <row r="51">
      <c r="A51" s="11" t="s">
        <v>88</v>
      </c>
      <c r="B51" s="29">
        <f>4.9*3</f>
        <v>14.7</v>
      </c>
      <c r="C51" s="11">
        <v>1.51</v>
      </c>
      <c r="D51" s="11">
        <v>1.18</v>
      </c>
      <c r="E51" s="11">
        <v>1.2</v>
      </c>
      <c r="F51" s="12">
        <f t="shared" si="7"/>
        <v>471.46428</v>
      </c>
    </row>
    <row r="52">
      <c r="A52" s="11" t="s">
        <v>89</v>
      </c>
      <c r="B52" s="29">
        <f>4.9*4.6</f>
        <v>22.54</v>
      </c>
      <c r="C52" s="11">
        <v>2.1</v>
      </c>
      <c r="D52" s="11">
        <v>1.0</v>
      </c>
      <c r="E52" s="11">
        <v>1.2</v>
      </c>
      <c r="F52" s="12">
        <f t="shared" si="7"/>
        <v>852.012</v>
      </c>
    </row>
    <row r="53">
      <c r="F53" s="26">
        <f>SUM(F49:F52)</f>
        <v>1804.90788</v>
      </c>
    </row>
    <row r="55">
      <c r="A55" s="7" t="s">
        <v>90</v>
      </c>
      <c r="F55" s="2"/>
    </row>
    <row r="56">
      <c r="A56" s="5" t="s">
        <v>7</v>
      </c>
      <c r="B56" s="6" t="s">
        <v>8</v>
      </c>
      <c r="C56" s="6" t="s">
        <v>9</v>
      </c>
      <c r="D56" s="6" t="s">
        <v>10</v>
      </c>
      <c r="E56" s="6" t="s">
        <v>11</v>
      </c>
      <c r="F56" s="6" t="s">
        <v>12</v>
      </c>
    </row>
    <row r="57">
      <c r="A57" s="11" t="s">
        <v>91</v>
      </c>
      <c r="B57" s="11">
        <f>3.5*3-B58</f>
        <v>9</v>
      </c>
      <c r="C57" s="11">
        <v>1.51</v>
      </c>
      <c r="D57" s="11">
        <v>1.08</v>
      </c>
      <c r="E57" s="11">
        <v>1.2</v>
      </c>
      <c r="F57" s="12">
        <f t="shared" ref="F57:F63" si="8">B57*C57*D57*E57*$B$4</f>
        <v>264.1896</v>
      </c>
    </row>
    <row r="58">
      <c r="A58" s="11" t="s">
        <v>64</v>
      </c>
      <c r="B58" s="29">
        <f>1*1.5</f>
        <v>1.5</v>
      </c>
      <c r="C58" s="11">
        <v>2.7</v>
      </c>
      <c r="D58" s="11">
        <v>1.08</v>
      </c>
      <c r="E58" s="11">
        <v>1.2</v>
      </c>
      <c r="F58" s="12">
        <f t="shared" si="8"/>
        <v>78.732</v>
      </c>
    </row>
    <row r="59">
      <c r="A59" s="11" t="s">
        <v>40</v>
      </c>
      <c r="B59" s="29">
        <f>4.6*3-B60-B61</f>
        <v>10.5</v>
      </c>
      <c r="C59" s="11">
        <v>1.51</v>
      </c>
      <c r="D59" s="11">
        <v>1.13</v>
      </c>
      <c r="E59" s="11">
        <v>1.2</v>
      </c>
      <c r="F59" s="12">
        <f t="shared" si="8"/>
        <v>322.4907</v>
      </c>
    </row>
    <row r="60">
      <c r="A60" s="11" t="s">
        <v>92</v>
      </c>
      <c r="B60" s="11">
        <f>1*1.5</f>
        <v>1.5</v>
      </c>
      <c r="C60" s="11">
        <v>2.7</v>
      </c>
      <c r="D60" s="11">
        <v>1.13</v>
      </c>
      <c r="E60" s="11">
        <v>1.2</v>
      </c>
      <c r="F60" s="12">
        <f t="shared" si="8"/>
        <v>82.377</v>
      </c>
    </row>
    <row r="61">
      <c r="A61" s="11" t="s">
        <v>93</v>
      </c>
      <c r="B61" s="29">
        <f>0.9*2</f>
        <v>1.8</v>
      </c>
      <c r="C61" s="11">
        <v>2.7</v>
      </c>
      <c r="D61" s="11">
        <v>1.13</v>
      </c>
      <c r="E61" s="11">
        <v>1.2</v>
      </c>
      <c r="F61" s="12">
        <f t="shared" si="8"/>
        <v>98.8524</v>
      </c>
    </row>
    <row r="62">
      <c r="A62" s="11" t="s">
        <v>94</v>
      </c>
      <c r="B62" s="29">
        <f>1.9*3</f>
        <v>5.7</v>
      </c>
      <c r="C62" s="11">
        <v>1.51</v>
      </c>
      <c r="D62" s="11">
        <v>1.0</v>
      </c>
      <c r="E62" s="11">
        <v>1.2</v>
      </c>
      <c r="F62" s="12">
        <f t="shared" si="8"/>
        <v>154.926</v>
      </c>
    </row>
    <row r="63">
      <c r="A63" s="11" t="s">
        <v>95</v>
      </c>
      <c r="B63" s="29">
        <f>3.5*6+1.1*1.9+1.15*0.9</f>
        <v>24.125</v>
      </c>
      <c r="C63" s="11">
        <v>2.1</v>
      </c>
      <c r="D63" s="11">
        <v>1.0</v>
      </c>
      <c r="E63" s="11">
        <v>1.2</v>
      </c>
      <c r="F63" s="12">
        <f t="shared" si="8"/>
        <v>911.925</v>
      </c>
    </row>
    <row r="64">
      <c r="F64" s="26">
        <f>SUM(F57:F63)</f>
        <v>1913.4927</v>
      </c>
    </row>
    <row r="66">
      <c r="A66" s="7" t="s">
        <v>96</v>
      </c>
      <c r="F66" s="2"/>
    </row>
    <row r="67">
      <c r="A67" s="5" t="s">
        <v>7</v>
      </c>
      <c r="B67" s="6" t="s">
        <v>8</v>
      </c>
      <c r="C67" s="6" t="s">
        <v>9</v>
      </c>
      <c r="D67" s="6" t="s">
        <v>10</v>
      </c>
      <c r="E67" s="6" t="s">
        <v>11</v>
      </c>
      <c r="F67" s="6" t="s">
        <v>12</v>
      </c>
    </row>
    <row r="68">
      <c r="A68" s="11" t="s">
        <v>97</v>
      </c>
      <c r="B68" s="29">
        <f>2.2*3</f>
        <v>6.6</v>
      </c>
      <c r="C68" s="11">
        <v>1.51</v>
      </c>
      <c r="D68" s="11">
        <v>1.18</v>
      </c>
      <c r="E68" s="11">
        <v>1.2</v>
      </c>
      <c r="F68" s="12">
        <f t="shared" ref="F68:F72" si="9">B68*C68*D68*E68*$B$4</f>
        <v>211.67784</v>
      </c>
    </row>
    <row r="69">
      <c r="A69" s="11" t="s">
        <v>40</v>
      </c>
      <c r="B69" s="11">
        <f>4.6*3-B70</f>
        <v>11.13</v>
      </c>
      <c r="C69" s="11">
        <v>1.51</v>
      </c>
      <c r="D69" s="11">
        <v>1.13</v>
      </c>
      <c r="E69" s="11">
        <v>1.2</v>
      </c>
      <c r="F69" s="12">
        <f t="shared" si="9"/>
        <v>341.840142</v>
      </c>
    </row>
    <row r="70">
      <c r="A70" s="11" t="s">
        <v>98</v>
      </c>
      <c r="B70" s="29">
        <f>1.78*1.5</f>
        <v>2.67</v>
      </c>
      <c r="C70" s="11">
        <v>2.7</v>
      </c>
      <c r="D70" s="11">
        <v>1.13</v>
      </c>
      <c r="E70" s="11">
        <v>1.2</v>
      </c>
      <c r="F70" s="12">
        <f t="shared" si="9"/>
        <v>146.63106</v>
      </c>
    </row>
    <row r="71">
      <c r="A71" s="11" t="s">
        <v>99</v>
      </c>
      <c r="B71" s="29">
        <f>0.9*3</f>
        <v>2.7</v>
      </c>
      <c r="C71" s="11">
        <v>1.51</v>
      </c>
      <c r="D71" s="11">
        <v>1.0</v>
      </c>
      <c r="E71" s="11">
        <v>1.2</v>
      </c>
      <c r="F71" s="12">
        <f t="shared" si="9"/>
        <v>73.386</v>
      </c>
    </row>
    <row r="72">
      <c r="A72" s="11" t="s">
        <v>100</v>
      </c>
      <c r="B72" s="29">
        <f>4.6*2.2-1</f>
        <v>9.12</v>
      </c>
      <c r="C72" s="11">
        <v>2.1</v>
      </c>
      <c r="D72" s="11">
        <v>1.0</v>
      </c>
      <c r="E72" s="11">
        <v>1.2</v>
      </c>
      <c r="F72" s="12">
        <f t="shared" si="9"/>
        <v>344.736</v>
      </c>
    </row>
    <row r="73">
      <c r="F73" s="26">
        <f>SUM(F68:F72)</f>
        <v>1118.271042</v>
      </c>
    </row>
    <row r="75">
      <c r="A75" s="7" t="s">
        <v>101</v>
      </c>
      <c r="F75" s="2"/>
    </row>
    <row r="76">
      <c r="A76" s="5" t="s">
        <v>7</v>
      </c>
      <c r="B76" s="6" t="s">
        <v>8</v>
      </c>
      <c r="C76" s="6" t="s">
        <v>9</v>
      </c>
      <c r="D76" s="6" t="s">
        <v>10</v>
      </c>
      <c r="E76" s="6" t="s">
        <v>11</v>
      </c>
      <c r="F76" s="6" t="s">
        <v>12</v>
      </c>
    </row>
    <row r="77">
      <c r="A77" s="11" t="s">
        <v>81</v>
      </c>
      <c r="B77" s="29">
        <f>1*3-B79</f>
        <v>2.75</v>
      </c>
      <c r="C77" s="11">
        <v>1.51</v>
      </c>
      <c r="D77" s="11">
        <v>1.08</v>
      </c>
      <c r="E77" s="11">
        <v>1.2</v>
      </c>
      <c r="F77" s="12">
        <f t="shared" ref="F77:F80" si="10">B77*C77*D77*E77*$B$4</f>
        <v>80.7246</v>
      </c>
    </row>
    <row r="78">
      <c r="A78" s="11" t="s">
        <v>102</v>
      </c>
      <c r="B78" s="29">
        <f>4*3</f>
        <v>12</v>
      </c>
      <c r="C78" s="11">
        <v>1.51</v>
      </c>
      <c r="D78" s="11">
        <v>1.0</v>
      </c>
      <c r="E78" s="11">
        <v>1.2</v>
      </c>
      <c r="F78" s="12">
        <f t="shared" si="10"/>
        <v>326.16</v>
      </c>
    </row>
    <row r="79">
      <c r="A79" s="11" t="s">
        <v>103</v>
      </c>
      <c r="B79" s="29">
        <f>0.5*0.5</f>
        <v>0.25</v>
      </c>
      <c r="C79" s="11">
        <v>2.7</v>
      </c>
      <c r="D79" s="11">
        <v>1.08</v>
      </c>
      <c r="E79" s="11">
        <v>1.2</v>
      </c>
      <c r="F79" s="12">
        <f t="shared" si="10"/>
        <v>13.122</v>
      </c>
    </row>
    <row r="80">
      <c r="A80" s="11" t="s">
        <v>104</v>
      </c>
      <c r="B80" s="29">
        <f>4*1</f>
        <v>4</v>
      </c>
      <c r="C80" s="11">
        <v>2.1</v>
      </c>
      <c r="D80" s="11">
        <v>1.0</v>
      </c>
      <c r="E80" s="11">
        <v>1.2</v>
      </c>
      <c r="F80" s="12">
        <f t="shared" si="10"/>
        <v>151.2</v>
      </c>
    </row>
    <row r="81">
      <c r="F81" s="26">
        <f>SUM(F77:F80)</f>
        <v>571.2066</v>
      </c>
    </row>
    <row r="82">
      <c r="A82" s="13" t="s">
        <v>105</v>
      </c>
      <c r="B82" s="26">
        <f>F53+F64+F73+F81</f>
        <v>5407.878222</v>
      </c>
      <c r="C82" s="13" t="s">
        <v>60</v>
      </c>
    </row>
    <row r="85">
      <c r="A85" s="13" t="s">
        <v>106</v>
      </c>
      <c r="B85" s="26">
        <f>B45+B82+N19</f>
        <v>10152.47665</v>
      </c>
      <c r="C85" s="13" t="s">
        <v>60</v>
      </c>
    </row>
    <row r="86">
      <c r="B86" s="34">
        <f>B85/1000</f>
        <v>10.15247665</v>
      </c>
      <c r="C86" s="13" t="s">
        <v>107</v>
      </c>
    </row>
    <row r="88">
      <c r="A88" s="13" t="s">
        <v>108</v>
      </c>
      <c r="B88" s="13">
        <v>14.0</v>
      </c>
      <c r="C88" s="13" t="s">
        <v>109</v>
      </c>
    </row>
    <row r="89">
      <c r="A89" s="13" t="s">
        <v>110</v>
      </c>
      <c r="B89" s="13">
        <v>181.0</v>
      </c>
      <c r="C89" s="13" t="s">
        <v>111</v>
      </c>
    </row>
    <row r="91">
      <c r="A91" s="13" t="s">
        <v>112</v>
      </c>
      <c r="B91" s="26">
        <f>B86*B88*B89</f>
        <v>25726.37584</v>
      </c>
      <c r="C91" s="13" t="s">
        <v>113</v>
      </c>
    </row>
    <row r="92">
      <c r="A92" s="13" t="s">
        <v>114</v>
      </c>
      <c r="B92" s="13">
        <v>120.0</v>
      </c>
      <c r="C92" s="13" t="s">
        <v>115</v>
      </c>
    </row>
    <row r="94">
      <c r="A94" s="13" t="s">
        <v>116</v>
      </c>
      <c r="B94" s="34">
        <f>B91/B92</f>
        <v>214.3864653</v>
      </c>
      <c r="C94" s="13" t="s">
        <v>117</v>
      </c>
    </row>
    <row r="96">
      <c r="A96" s="13" t="s">
        <v>118</v>
      </c>
      <c r="B96" s="26">
        <f>B91*0.1</f>
        <v>2572.637584</v>
      </c>
      <c r="C96" s="13" t="s">
        <v>119</v>
      </c>
      <c r="D96" s="13" t="s">
        <v>120</v>
      </c>
    </row>
  </sheetData>
  <conditionalFormatting sqref="F10">
    <cfRule type="notContainsBlanks" dxfId="0" priority="1">
      <formula>LEN(TRIM(F10))&gt;0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0.43"/>
    <col customWidth="1" min="2" max="2" width="8.43"/>
    <col customWidth="1" min="3" max="3" width="9.71"/>
    <col customWidth="1" min="4" max="4" width="8.0"/>
    <col customWidth="1" min="5" max="5" width="9.14"/>
    <col customWidth="1" min="6" max="6" width="7.86"/>
    <col customWidth="1" min="7" max="7" width="6.0"/>
    <col customWidth="1" min="8" max="8" width="24.71"/>
    <col customWidth="1" min="9" max="9" width="9.14"/>
    <col customWidth="1" min="10" max="10" width="8.57"/>
    <col customWidth="1" min="11" max="11" width="8.71"/>
  </cols>
  <sheetData>
    <row r="1">
      <c r="A1" s="1" t="s">
        <v>0</v>
      </c>
      <c r="B1" s="2"/>
      <c r="C1" s="2"/>
      <c r="D1" s="2"/>
      <c r="E1" s="2"/>
      <c r="F1" s="2"/>
      <c r="G1" s="2"/>
    </row>
    <row r="2">
      <c r="A2" s="2"/>
      <c r="B2" s="2"/>
      <c r="C2" s="2"/>
      <c r="D2" s="2"/>
      <c r="E2" s="2"/>
      <c r="F2" s="2"/>
      <c r="G2" s="2"/>
    </row>
    <row r="3">
      <c r="A3" s="3" t="s">
        <v>1</v>
      </c>
      <c r="B3" s="4">
        <v>-7.0</v>
      </c>
      <c r="C3" s="3" t="s">
        <v>2</v>
      </c>
      <c r="D3" s="2"/>
      <c r="E3" s="2"/>
      <c r="F3" s="2"/>
      <c r="G3" s="2"/>
    </row>
    <row r="4">
      <c r="A4" s="3" t="s">
        <v>3</v>
      </c>
      <c r="B4" s="4">
        <v>15.0</v>
      </c>
      <c r="C4" s="3" t="s">
        <v>2</v>
      </c>
      <c r="D4" s="2"/>
      <c r="E4" s="2"/>
      <c r="F4" s="2"/>
      <c r="G4" s="2"/>
    </row>
    <row r="5">
      <c r="A5" s="3" t="s">
        <v>4</v>
      </c>
      <c r="B5" s="4">
        <v>10.0</v>
      </c>
      <c r="C5" s="3" t="s">
        <v>2</v>
      </c>
      <c r="D5" s="2"/>
      <c r="E5" s="2"/>
      <c r="F5" s="2"/>
      <c r="G5" s="2"/>
    </row>
    <row r="6">
      <c r="A6" s="3" t="s">
        <v>5</v>
      </c>
      <c r="B6" s="4">
        <v>10.0</v>
      </c>
      <c r="C6" s="3" t="s">
        <v>2</v>
      </c>
      <c r="D6" s="2"/>
      <c r="E6" s="2"/>
      <c r="F6" s="2"/>
      <c r="G6" s="2"/>
    </row>
    <row r="7">
      <c r="A7" s="2"/>
      <c r="B7" s="2"/>
      <c r="C7" s="2"/>
      <c r="D7" s="2"/>
      <c r="E7" s="2"/>
      <c r="F7" s="2"/>
      <c r="G7" s="2"/>
    </row>
    <row r="8">
      <c r="A8" s="1" t="s">
        <v>6</v>
      </c>
      <c r="B8" s="2"/>
      <c r="C8" s="2"/>
      <c r="D8" s="2"/>
      <c r="E8" s="2"/>
      <c r="F8" s="2"/>
      <c r="G8" s="2"/>
    </row>
    <row r="9">
      <c r="A9" s="5" t="s">
        <v>7</v>
      </c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2"/>
      <c r="H9" s="5" t="s">
        <v>15</v>
      </c>
      <c r="I9" s="6" t="s">
        <v>16</v>
      </c>
      <c r="J9" s="6" t="s">
        <v>17</v>
      </c>
      <c r="K9" s="6" t="s">
        <v>18</v>
      </c>
      <c r="M9" s="7" t="s">
        <v>13</v>
      </c>
    </row>
    <row r="10">
      <c r="A10" s="8" t="s">
        <v>14</v>
      </c>
      <c r="B10" s="9">
        <v>9.15</v>
      </c>
      <c r="C10" s="36">
        <f>$K$17</f>
        <v>0.1996077274</v>
      </c>
      <c r="D10" s="9">
        <v>1.08</v>
      </c>
      <c r="E10" s="9">
        <v>1.2</v>
      </c>
      <c r="F10" s="10">
        <f>B10*C10*D10*E10*B4</f>
        <v>35.50542412</v>
      </c>
      <c r="G10" s="2"/>
      <c r="H10" s="8" t="s">
        <v>22</v>
      </c>
      <c r="I10" s="14"/>
      <c r="J10" s="14"/>
      <c r="K10" s="15">
        <v>0.04</v>
      </c>
      <c r="L10" s="2"/>
      <c r="M10" s="11" t="s">
        <v>19</v>
      </c>
      <c r="N10" s="12">
        <f>0.34*2*(B13*3)*($B$4)</f>
        <v>436.356</v>
      </c>
      <c r="O10" s="13" t="s">
        <v>20</v>
      </c>
    </row>
    <row r="11">
      <c r="A11" s="8" t="s">
        <v>21</v>
      </c>
      <c r="B11" s="9">
        <v>1.8</v>
      </c>
      <c r="C11" s="9">
        <v>1.38</v>
      </c>
      <c r="D11" s="9">
        <v>1.08</v>
      </c>
      <c r="E11" s="9">
        <v>1.2</v>
      </c>
      <c r="F11" s="10">
        <f t="shared" ref="F11:F12" si="1">B11*C11*D11*E11*$B$4</f>
        <v>48.28896</v>
      </c>
      <c r="G11" s="2"/>
      <c r="H11" s="8" t="s">
        <v>25</v>
      </c>
      <c r="I11" s="9">
        <v>0.01</v>
      </c>
      <c r="J11" s="9">
        <v>0.9</v>
      </c>
      <c r="K11" s="9">
        <v>0.011</v>
      </c>
      <c r="L11" s="2"/>
      <c r="M11" s="11" t="s">
        <v>23</v>
      </c>
      <c r="N11" s="12">
        <f>(B21*3)*0.34*0.3*$B$4</f>
        <v>83.4003</v>
      </c>
      <c r="O11" s="13" t="s">
        <v>20</v>
      </c>
    </row>
    <row r="12">
      <c r="A12" s="8" t="s">
        <v>24</v>
      </c>
      <c r="B12" s="9">
        <v>2.85</v>
      </c>
      <c r="C12" s="36">
        <f>$K$31</f>
        <v>0.7654836465</v>
      </c>
      <c r="D12" s="9">
        <v>1.08</v>
      </c>
      <c r="E12" s="9">
        <v>1.2</v>
      </c>
      <c r="F12" s="10">
        <f t="shared" si="1"/>
        <v>42.41085595</v>
      </c>
      <c r="G12" s="2"/>
      <c r="H12" s="8" t="s">
        <v>28</v>
      </c>
      <c r="I12" s="9">
        <v>0.28</v>
      </c>
      <c r="J12" s="9">
        <v>0.6</v>
      </c>
      <c r="K12" s="9">
        <v>0.467</v>
      </c>
      <c r="L12" s="2"/>
      <c r="M12" s="11" t="s">
        <v>26</v>
      </c>
      <c r="N12" s="12">
        <f>(B28*3)*0.34*0.3*$B$4</f>
        <v>68.1615</v>
      </c>
      <c r="O12" s="13" t="s">
        <v>20</v>
      </c>
    </row>
    <row r="13">
      <c r="A13" s="8" t="s">
        <v>27</v>
      </c>
      <c r="B13" s="9">
        <v>14.26</v>
      </c>
      <c r="C13" s="9">
        <v>0.68</v>
      </c>
      <c r="D13" s="9">
        <v>1.0</v>
      </c>
      <c r="E13" s="9">
        <v>1.2</v>
      </c>
      <c r="F13" s="16">
        <f>B13*C13*D13*E13*$B$5</f>
        <v>116.3616</v>
      </c>
      <c r="G13" s="2"/>
      <c r="H13" s="8" t="s">
        <v>31</v>
      </c>
      <c r="I13" s="9">
        <v>0.01</v>
      </c>
      <c r="J13" s="9">
        <v>0.7</v>
      </c>
      <c r="K13" s="9">
        <v>0.014</v>
      </c>
      <c r="L13" s="2"/>
      <c r="M13" s="11" t="s">
        <v>29</v>
      </c>
      <c r="N13" s="12">
        <f>(6.21*3)*0.34*0.3*$B$4</f>
        <v>28.5039</v>
      </c>
      <c r="O13" s="13" t="s">
        <v>20</v>
      </c>
    </row>
    <row r="14">
      <c r="A14" s="17" t="s">
        <v>30</v>
      </c>
      <c r="B14" s="18">
        <f>3.1*3</f>
        <v>9.3</v>
      </c>
      <c r="C14" s="19">
        <v>1.51</v>
      </c>
      <c r="D14" s="19">
        <v>1.0</v>
      </c>
      <c r="E14" s="19">
        <v>1.2</v>
      </c>
      <c r="F14" s="12">
        <f>B14*C14*D14*E14*10</f>
        <v>168.516</v>
      </c>
      <c r="G14" s="3"/>
      <c r="H14" s="11" t="s">
        <v>121</v>
      </c>
      <c r="I14" s="11">
        <v>0.1</v>
      </c>
      <c r="J14" s="11">
        <v>0.023</v>
      </c>
      <c r="K14" s="32">
        <f>I14/J14</f>
        <v>4.347826087</v>
      </c>
      <c r="L14" s="2"/>
      <c r="M14" s="11" t="s">
        <v>32</v>
      </c>
      <c r="N14" s="12">
        <f>(6*3)*0.34*1*$B$4*2</f>
        <v>183.6</v>
      </c>
      <c r="O14" s="13" t="s">
        <v>20</v>
      </c>
    </row>
    <row r="15">
      <c r="F15" s="20">
        <f>SUM(F10:F14)</f>
        <v>411.0828401</v>
      </c>
      <c r="G15" s="2"/>
      <c r="H15" s="8" t="s">
        <v>33</v>
      </c>
      <c r="I15" s="14"/>
      <c r="J15" s="14"/>
      <c r="K15" s="15">
        <v>0.13</v>
      </c>
      <c r="L15" s="2"/>
      <c r="M15" s="11" t="s">
        <v>34</v>
      </c>
      <c r="N15" s="12">
        <f>(22.54*3)*0.34*0.3*$B$4</f>
        <v>103.4586</v>
      </c>
      <c r="O15" s="13" t="s">
        <v>20</v>
      </c>
    </row>
    <row r="16">
      <c r="A16" s="1" t="s">
        <v>35</v>
      </c>
      <c r="B16" s="2"/>
      <c r="C16" s="2"/>
      <c r="D16" s="2"/>
      <c r="E16" s="2"/>
      <c r="G16" s="2"/>
      <c r="H16" s="2"/>
      <c r="I16" s="2"/>
      <c r="J16" s="3" t="s">
        <v>36</v>
      </c>
      <c r="K16" s="21">
        <f>SUM(K10:K15)</f>
        <v>5.009826087</v>
      </c>
      <c r="L16" s="2"/>
      <c r="M16" s="11" t="s">
        <v>37</v>
      </c>
      <c r="N16" s="12">
        <f>(24.125*3)*0.34*0.3*$B$4</f>
        <v>110.73375</v>
      </c>
      <c r="O16" s="13" t="s">
        <v>20</v>
      </c>
    </row>
    <row r="17">
      <c r="A17" s="5" t="s">
        <v>7</v>
      </c>
      <c r="B17" s="6" t="s">
        <v>8</v>
      </c>
      <c r="C17" s="6" t="s">
        <v>9</v>
      </c>
      <c r="D17" s="6" t="s">
        <v>10</v>
      </c>
      <c r="E17" s="6" t="s">
        <v>11</v>
      </c>
      <c r="F17" s="6" t="s">
        <v>12</v>
      </c>
      <c r="G17" s="2"/>
      <c r="H17" s="2"/>
      <c r="I17" s="2"/>
      <c r="J17" s="3" t="s">
        <v>38</v>
      </c>
      <c r="K17" s="21">
        <f>K16^-1</f>
        <v>0.1996077274</v>
      </c>
      <c r="L17" s="3" t="s">
        <v>39</v>
      </c>
      <c r="M17" s="11" t="s">
        <v>32</v>
      </c>
      <c r="N17" s="12">
        <f>(9.12*3)*0.34*1*$B$4*2</f>
        <v>279.072</v>
      </c>
      <c r="O17" s="13" t="s">
        <v>20</v>
      </c>
    </row>
    <row r="18">
      <c r="A18" s="19" t="s">
        <v>40</v>
      </c>
      <c r="B18" s="18">
        <f>4.6*3-B20</f>
        <v>11.13</v>
      </c>
      <c r="C18" s="36">
        <f t="shared" ref="C18:C19" si="2">$K$17</f>
        <v>0.1996077274</v>
      </c>
      <c r="D18" s="19">
        <v>1.13</v>
      </c>
      <c r="E18" s="19">
        <v>1.2</v>
      </c>
      <c r="F18" s="22">
        <f t="shared" ref="F18:F20" si="3">B18*C18*D18*E18*$B$4</f>
        <v>45.18803569</v>
      </c>
      <c r="G18" s="2"/>
      <c r="H18" s="2"/>
      <c r="I18" s="2"/>
      <c r="J18" s="2"/>
      <c r="K18" s="2"/>
      <c r="L18" s="2"/>
      <c r="M18" s="11" t="s">
        <v>41</v>
      </c>
      <c r="N18" s="23">
        <f>(4*3)*0.34*0.3*$B$4</f>
        <v>18.36</v>
      </c>
      <c r="O18" s="13" t="s">
        <v>20</v>
      </c>
    </row>
    <row r="19">
      <c r="A19" s="19" t="s">
        <v>42</v>
      </c>
      <c r="B19" s="18">
        <f>0.9*3</f>
        <v>2.7</v>
      </c>
      <c r="C19" s="36">
        <f t="shared" si="2"/>
        <v>0.1996077274</v>
      </c>
      <c r="D19" s="19">
        <v>1.0</v>
      </c>
      <c r="E19" s="19">
        <v>1.2</v>
      </c>
      <c r="F19" s="22">
        <f t="shared" si="3"/>
        <v>9.700935553</v>
      </c>
      <c r="G19" s="2"/>
      <c r="H19" s="5" t="s">
        <v>43</v>
      </c>
      <c r="I19" s="24"/>
      <c r="J19" s="25" t="s">
        <v>44</v>
      </c>
      <c r="K19" s="25" t="s">
        <v>18</v>
      </c>
      <c r="L19" s="2"/>
      <c r="M19" s="13" t="s">
        <v>45</v>
      </c>
      <c r="N19" s="26">
        <f>SUM(N10:N18)</f>
        <v>1311.64605</v>
      </c>
      <c r="O19" s="13" t="s">
        <v>20</v>
      </c>
    </row>
    <row r="20">
      <c r="A20" s="19" t="s">
        <v>46</v>
      </c>
      <c r="B20" s="18">
        <f>1.78*1.5</f>
        <v>2.67</v>
      </c>
      <c r="C20" s="36">
        <f>$K$31</f>
        <v>0.7654836465</v>
      </c>
      <c r="D20" s="19">
        <v>1.13</v>
      </c>
      <c r="E20" s="19">
        <v>1.2</v>
      </c>
      <c r="F20" s="22">
        <f t="shared" si="3"/>
        <v>41.57173278</v>
      </c>
      <c r="G20" s="2"/>
      <c r="H20" s="8" t="s">
        <v>22</v>
      </c>
      <c r="I20" s="14"/>
      <c r="J20" s="14"/>
      <c r="K20" s="15">
        <v>0.04</v>
      </c>
      <c r="L20" s="2"/>
    </row>
    <row r="21">
      <c r="A21" s="19" t="s">
        <v>47</v>
      </c>
      <c r="B21" s="18">
        <f>3.95*4.6</f>
        <v>18.17</v>
      </c>
      <c r="C21" s="19">
        <v>0.68</v>
      </c>
      <c r="D21" s="19">
        <v>1.0</v>
      </c>
      <c r="E21" s="19">
        <v>1.2</v>
      </c>
      <c r="F21" s="16">
        <f>B21*C21*D21*E21*$B$5</f>
        <v>148.2672</v>
      </c>
      <c r="G21" s="2"/>
      <c r="H21" s="8" t="s">
        <v>48</v>
      </c>
      <c r="I21" s="14"/>
      <c r="J21" s="9">
        <v>1.8</v>
      </c>
      <c r="K21" s="9">
        <v>0.56</v>
      </c>
      <c r="L21" s="2"/>
      <c r="M21" s="13" t="s">
        <v>49</v>
      </c>
      <c r="N21" s="27">
        <f>B13+B21+B28+B35+B42+B52+B63+B80+B72</f>
        <v>119.275</v>
      </c>
      <c r="O21" s="13" t="s">
        <v>50</v>
      </c>
    </row>
    <row r="22">
      <c r="A22" s="17" t="s">
        <v>51</v>
      </c>
      <c r="B22" s="18">
        <f>3.96*3</f>
        <v>11.88</v>
      </c>
      <c r="C22" s="19">
        <v>1.51</v>
      </c>
      <c r="D22" s="19">
        <v>1.0</v>
      </c>
      <c r="E22" s="19">
        <v>1.2</v>
      </c>
      <c r="F22" s="12">
        <f>B22*C22*D22*E22*10</f>
        <v>215.2656</v>
      </c>
      <c r="G22" s="2"/>
      <c r="H22" s="8" t="s">
        <v>33</v>
      </c>
      <c r="I22" s="14"/>
      <c r="J22" s="14"/>
      <c r="K22" s="15">
        <v>0.13</v>
      </c>
      <c r="L22" s="2"/>
      <c r="M22" s="13" t="s">
        <v>52</v>
      </c>
      <c r="N22" s="13">
        <v>2.0</v>
      </c>
    </row>
    <row r="23">
      <c r="A23" s="2"/>
      <c r="B23" s="2"/>
      <c r="C23" s="2"/>
      <c r="D23" s="2"/>
      <c r="E23" s="2"/>
      <c r="F23" s="20">
        <f>SUM(F18:F22)</f>
        <v>459.993504</v>
      </c>
      <c r="G23" s="2"/>
      <c r="H23" s="2"/>
      <c r="I23" s="2"/>
      <c r="J23" s="3" t="s">
        <v>53</v>
      </c>
      <c r="K23" s="4">
        <v>0.73</v>
      </c>
      <c r="L23" s="2"/>
      <c r="M23" s="13" t="s">
        <v>54</v>
      </c>
      <c r="N23" s="28">
        <f>0.05*N21+3.5*(N22+1)</f>
        <v>16.46375</v>
      </c>
      <c r="O23" s="13" t="s">
        <v>55</v>
      </c>
    </row>
    <row r="24">
      <c r="A24" s="1" t="s">
        <v>56</v>
      </c>
      <c r="B24" s="2"/>
      <c r="C24" s="2"/>
      <c r="D24" s="2"/>
      <c r="E24" s="2"/>
      <c r="F24" s="2"/>
      <c r="G24" s="2"/>
      <c r="H24" s="2"/>
      <c r="I24" s="2"/>
      <c r="J24" s="3" t="s">
        <v>57</v>
      </c>
      <c r="K24" s="4">
        <v>1.38</v>
      </c>
      <c r="L24" s="3" t="s">
        <v>39</v>
      </c>
      <c r="N24" s="27">
        <f>N23*1.2/1000</f>
        <v>0.0197565</v>
      </c>
      <c r="O24" s="13" t="s">
        <v>58</v>
      </c>
    </row>
    <row r="25">
      <c r="A25" s="5" t="s">
        <v>7</v>
      </c>
      <c r="B25" s="6" t="s">
        <v>8</v>
      </c>
      <c r="C25" s="6" t="s">
        <v>9</v>
      </c>
      <c r="D25" s="6" t="s">
        <v>10</v>
      </c>
      <c r="E25" s="6" t="s">
        <v>11</v>
      </c>
      <c r="F25" s="6" t="s">
        <v>12</v>
      </c>
      <c r="G25" s="2"/>
      <c r="H25" s="2"/>
      <c r="I25" s="2"/>
      <c r="J25" s="2"/>
      <c r="K25" s="2"/>
      <c r="L25" s="2"/>
      <c r="M25" s="13" t="s">
        <v>59</v>
      </c>
      <c r="N25" s="26">
        <f>N24*1006*B4</f>
        <v>298.125585</v>
      </c>
      <c r="O25" s="13" t="s">
        <v>60</v>
      </c>
    </row>
    <row r="26">
      <c r="A26" s="11" t="s">
        <v>61</v>
      </c>
      <c r="B26" s="29">
        <f>3.3*3-B27</f>
        <v>8.4</v>
      </c>
      <c r="C26" s="36">
        <f>$K$17</f>
        <v>0.1996077274</v>
      </c>
      <c r="D26" s="11">
        <v>1.08</v>
      </c>
      <c r="E26" s="11">
        <v>1.2</v>
      </c>
      <c r="F26" s="22">
        <f t="shared" ref="F26:F27" si="4">B26*C26*D26*E26*$B$4</f>
        <v>32.59514346</v>
      </c>
      <c r="G26" s="2"/>
      <c r="H26" s="5" t="s">
        <v>122</v>
      </c>
      <c r="I26" s="24"/>
      <c r="J26" s="25" t="s">
        <v>63</v>
      </c>
      <c r="K26" s="25" t="s">
        <v>18</v>
      </c>
      <c r="L26" s="2"/>
    </row>
    <row r="27">
      <c r="A27" s="11" t="s">
        <v>64</v>
      </c>
      <c r="B27" s="11">
        <f>1*1.5</f>
        <v>1.5</v>
      </c>
      <c r="C27" s="36">
        <f>$K$31</f>
        <v>0.7654836465</v>
      </c>
      <c r="D27" s="11">
        <v>1.08</v>
      </c>
      <c r="E27" s="11">
        <v>1.2</v>
      </c>
      <c r="F27" s="22">
        <f t="shared" si="4"/>
        <v>22.32150313</v>
      </c>
      <c r="G27" s="2"/>
      <c r="H27" s="8" t="s">
        <v>22</v>
      </c>
      <c r="I27" s="14"/>
      <c r="J27" s="14"/>
      <c r="K27" s="15">
        <v>0.04</v>
      </c>
      <c r="L27" s="2"/>
    </row>
    <row r="28">
      <c r="A28" s="11" t="s">
        <v>65</v>
      </c>
      <c r="B28" s="29">
        <f>3.3*4.5</f>
        <v>14.85</v>
      </c>
      <c r="C28" s="11">
        <v>0.68</v>
      </c>
      <c r="D28" s="11">
        <v>1.0</v>
      </c>
      <c r="E28" s="11">
        <v>1.2</v>
      </c>
      <c r="F28" s="22">
        <f>B28*C28*D28*E28*$B$6</f>
        <v>121.176</v>
      </c>
      <c r="G28" s="2"/>
      <c r="H28" s="8" t="s">
        <v>66</v>
      </c>
      <c r="I28" s="14"/>
      <c r="J28" s="9">
        <v>0.88</v>
      </c>
      <c r="K28" s="36">
        <f>J28^-1</f>
        <v>1.136363636</v>
      </c>
      <c r="L28" s="2"/>
    </row>
    <row r="29">
      <c r="F29" s="20">
        <f>SUM(F26:F28)</f>
        <v>176.0926466</v>
      </c>
      <c r="G29" s="2"/>
      <c r="H29" s="8" t="s">
        <v>33</v>
      </c>
      <c r="I29" s="14"/>
      <c r="J29" s="14"/>
      <c r="K29" s="15">
        <v>0.13</v>
      </c>
      <c r="L29" s="2"/>
    </row>
    <row r="30">
      <c r="A30" s="7" t="s">
        <v>68</v>
      </c>
      <c r="F30" s="2"/>
      <c r="G30" s="2"/>
      <c r="H30" s="2"/>
      <c r="I30" s="2"/>
      <c r="J30" s="3" t="s">
        <v>53</v>
      </c>
      <c r="K30" s="21">
        <f>SUM(K27:K29)</f>
        <v>1.306363636</v>
      </c>
      <c r="L30" s="2"/>
    </row>
    <row r="31">
      <c r="A31" s="5" t="s">
        <v>7</v>
      </c>
      <c r="B31" s="6" t="s">
        <v>8</v>
      </c>
      <c r="C31" s="6" t="s">
        <v>9</v>
      </c>
      <c r="D31" s="6" t="s">
        <v>10</v>
      </c>
      <c r="E31" s="6" t="s">
        <v>11</v>
      </c>
      <c r="F31" s="6" t="s">
        <v>12</v>
      </c>
      <c r="G31" s="2"/>
      <c r="H31" s="2"/>
      <c r="I31" s="2"/>
      <c r="J31" s="3" t="s">
        <v>57</v>
      </c>
      <c r="K31" s="21">
        <f>K30^-1</f>
        <v>0.7654836465</v>
      </c>
      <c r="L31" s="3" t="s">
        <v>39</v>
      </c>
    </row>
    <row r="32">
      <c r="A32" s="11" t="s">
        <v>40</v>
      </c>
      <c r="B32" s="29">
        <f>4.6*3-B33-B34</f>
        <v>10.5</v>
      </c>
      <c r="C32" s="36">
        <f>$K$17</f>
        <v>0.1996077274</v>
      </c>
      <c r="D32" s="11">
        <v>1.13</v>
      </c>
      <c r="E32" s="11">
        <v>1.2</v>
      </c>
      <c r="F32" s="22">
        <f t="shared" ref="F32:F34" si="5">B32*C32*D32*E32*$B$4</f>
        <v>42.63022235</v>
      </c>
      <c r="G32" s="2"/>
    </row>
    <row r="33">
      <c r="A33" s="11" t="s">
        <v>69</v>
      </c>
      <c r="B33" s="11">
        <f>0.9*2</f>
        <v>1.8</v>
      </c>
      <c r="C33" s="11">
        <v>1.38</v>
      </c>
      <c r="D33" s="11">
        <v>1.13</v>
      </c>
      <c r="E33" s="11">
        <v>1.2</v>
      </c>
      <c r="F33" s="22">
        <f t="shared" si="5"/>
        <v>50.52456</v>
      </c>
      <c r="G33" s="2"/>
      <c r="H33" s="30" t="s">
        <v>70</v>
      </c>
      <c r="I33" s="5" t="s">
        <v>16</v>
      </c>
      <c r="J33" s="5" t="s">
        <v>17</v>
      </c>
      <c r="K33" s="5" t="s">
        <v>18</v>
      </c>
    </row>
    <row r="34">
      <c r="A34" s="11" t="s">
        <v>71</v>
      </c>
      <c r="B34" s="29">
        <f>1*1.5</f>
        <v>1.5</v>
      </c>
      <c r="C34" s="36">
        <f>$K$31</f>
        <v>0.7654836465</v>
      </c>
      <c r="D34" s="11">
        <v>1.13</v>
      </c>
      <c r="E34" s="11">
        <v>1.2</v>
      </c>
      <c r="F34" s="22">
        <f t="shared" si="5"/>
        <v>23.35490605</v>
      </c>
      <c r="G34" s="2"/>
      <c r="H34" s="11" t="s">
        <v>72</v>
      </c>
      <c r="I34" s="29"/>
      <c r="J34" s="29"/>
      <c r="K34" s="31">
        <v>0.1</v>
      </c>
    </row>
    <row r="35">
      <c r="A35" s="11" t="s">
        <v>73</v>
      </c>
      <c r="B35" s="29">
        <f>4.6*1.35</f>
        <v>6.21</v>
      </c>
      <c r="C35" s="11">
        <v>0.68</v>
      </c>
      <c r="D35" s="11">
        <v>1.0</v>
      </c>
      <c r="E35" s="11">
        <v>1.2</v>
      </c>
      <c r="F35" s="22">
        <f>B35*C35*D35*E35*$B$6</f>
        <v>50.6736</v>
      </c>
      <c r="G35" s="2"/>
      <c r="H35" s="11" t="s">
        <v>74</v>
      </c>
      <c r="I35" s="11">
        <v>0.02</v>
      </c>
      <c r="J35" s="11">
        <v>0.7</v>
      </c>
      <c r="K35" s="32">
        <f t="shared" ref="K35:K36" si="6">I35/J35</f>
        <v>0.02857142857</v>
      </c>
    </row>
    <row r="36">
      <c r="F36" s="20">
        <f>SUM(F32:F35)</f>
        <v>167.1832884</v>
      </c>
      <c r="G36" s="2"/>
      <c r="H36" s="11" t="s">
        <v>75</v>
      </c>
      <c r="I36" s="11">
        <v>0.2</v>
      </c>
      <c r="J36" s="11">
        <v>1.91</v>
      </c>
      <c r="K36" s="32">
        <f t="shared" si="6"/>
        <v>0.1047120419</v>
      </c>
    </row>
    <row r="37">
      <c r="A37" s="7" t="s">
        <v>76</v>
      </c>
      <c r="F37" s="2"/>
      <c r="G37" s="2"/>
      <c r="H37" s="11" t="s">
        <v>77</v>
      </c>
      <c r="I37" s="29"/>
      <c r="J37" s="29"/>
      <c r="K37" s="31">
        <v>0.16</v>
      </c>
    </row>
    <row r="38">
      <c r="A38" s="5" t="s">
        <v>7</v>
      </c>
      <c r="B38" s="6" t="s">
        <v>8</v>
      </c>
      <c r="C38" s="6" t="s">
        <v>9</v>
      </c>
      <c r="D38" s="6" t="s">
        <v>10</v>
      </c>
      <c r="E38" s="6" t="s">
        <v>11</v>
      </c>
      <c r="F38" s="6" t="s">
        <v>12</v>
      </c>
      <c r="G38" s="2"/>
      <c r="H38" s="11" t="s">
        <v>78</v>
      </c>
      <c r="I38" s="11">
        <v>0.03</v>
      </c>
      <c r="J38" s="11">
        <v>1.0</v>
      </c>
      <c r="K38" s="32">
        <f t="shared" ref="K38:K39" si="7">I38/J38</f>
        <v>0.03</v>
      </c>
    </row>
    <row r="39">
      <c r="A39" s="11" t="s">
        <v>79</v>
      </c>
      <c r="B39" s="29">
        <f>6*3-B41</f>
        <v>17.1</v>
      </c>
      <c r="C39" s="36">
        <f t="shared" ref="C39:C40" si="8">$K$17</f>
        <v>0.1996077274</v>
      </c>
      <c r="D39" s="11">
        <v>1.0</v>
      </c>
      <c r="E39" s="11">
        <v>1.2</v>
      </c>
      <c r="F39" s="22">
        <f t="shared" ref="F39:F41" si="9">B39*C39*D39*E39*$B$4</f>
        <v>61.4392585</v>
      </c>
      <c r="G39" s="2"/>
      <c r="H39" s="11" t="s">
        <v>80</v>
      </c>
      <c r="I39" s="11">
        <v>0.01</v>
      </c>
      <c r="J39" s="11">
        <v>0.99</v>
      </c>
      <c r="K39" s="32">
        <f t="shared" si="7"/>
        <v>0.0101010101</v>
      </c>
    </row>
    <row r="40">
      <c r="A40" s="11" t="s">
        <v>81</v>
      </c>
      <c r="B40" s="29">
        <f>1*3</f>
        <v>3</v>
      </c>
      <c r="C40" s="36">
        <f t="shared" si="8"/>
        <v>0.1996077274</v>
      </c>
      <c r="D40" s="11">
        <v>1.08</v>
      </c>
      <c r="E40" s="11">
        <v>1.2</v>
      </c>
      <c r="F40" s="22">
        <f t="shared" si="9"/>
        <v>11.64112266</v>
      </c>
      <c r="G40" s="2"/>
      <c r="H40" s="11" t="s">
        <v>82</v>
      </c>
      <c r="I40" s="29"/>
      <c r="J40" s="29"/>
      <c r="K40" s="31">
        <v>0.04</v>
      </c>
    </row>
    <row r="41">
      <c r="A41" s="11" t="s">
        <v>83</v>
      </c>
      <c r="B41" s="29">
        <f>0.6*1.5</f>
        <v>0.9</v>
      </c>
      <c r="C41" s="36">
        <f>$K$31</f>
        <v>0.7654836465</v>
      </c>
      <c r="D41" s="11">
        <v>1.0</v>
      </c>
      <c r="E41" s="11">
        <v>1.2</v>
      </c>
      <c r="F41" s="22">
        <f t="shared" si="9"/>
        <v>12.40083507</v>
      </c>
      <c r="G41" s="2"/>
      <c r="H41" s="11" t="s">
        <v>123</v>
      </c>
      <c r="I41" s="11">
        <v>0.2</v>
      </c>
      <c r="J41" s="11">
        <v>0.04</v>
      </c>
      <c r="K41" s="29">
        <f>I41/J41</f>
        <v>5</v>
      </c>
    </row>
    <row r="42">
      <c r="A42" s="11" t="s">
        <v>84</v>
      </c>
      <c r="B42" s="29">
        <f>6*1</f>
        <v>6</v>
      </c>
      <c r="C42" s="11">
        <v>0.68</v>
      </c>
      <c r="D42" s="11">
        <v>1.0</v>
      </c>
      <c r="E42" s="11">
        <v>1.2</v>
      </c>
      <c r="F42" s="22">
        <f>B42*C42*D42*E42*$B$6</f>
        <v>48.96</v>
      </c>
      <c r="G42" s="2"/>
      <c r="J42" s="13" t="s">
        <v>53</v>
      </c>
      <c r="K42" s="33">
        <f>SUM(K34:K41)</f>
        <v>5.473384481</v>
      </c>
    </row>
    <row r="43">
      <c r="F43" s="20">
        <f>SUM(F39:F42)</f>
        <v>134.4412162</v>
      </c>
      <c r="G43" s="3" t="s">
        <v>20</v>
      </c>
      <c r="J43" s="13" t="s">
        <v>57</v>
      </c>
      <c r="K43" s="33">
        <f>1/K42</f>
        <v>0.1827023122</v>
      </c>
      <c r="L43" s="3" t="s">
        <v>39</v>
      </c>
    </row>
    <row r="44">
      <c r="F44" s="2"/>
      <c r="G44" s="2"/>
    </row>
    <row r="45">
      <c r="A45" s="7" t="s">
        <v>85</v>
      </c>
      <c r="B45" s="26">
        <f>F15+F23+F29+F36+F43</f>
        <v>1348.793495</v>
      </c>
      <c r="C45" s="13" t="s">
        <v>60</v>
      </c>
      <c r="F45" s="2"/>
      <c r="G45" s="2"/>
    </row>
    <row r="46">
      <c r="F46" s="2"/>
      <c r="G46" s="2"/>
    </row>
    <row r="47">
      <c r="A47" s="7" t="s">
        <v>86</v>
      </c>
      <c r="F47" s="2"/>
      <c r="G47" s="2"/>
    </row>
    <row r="48">
      <c r="A48" s="5" t="s">
        <v>7</v>
      </c>
      <c r="B48" s="6" t="s">
        <v>8</v>
      </c>
      <c r="C48" s="6" t="s">
        <v>9</v>
      </c>
      <c r="D48" s="6" t="s">
        <v>10</v>
      </c>
      <c r="E48" s="6" t="s">
        <v>11</v>
      </c>
      <c r="F48" s="6" t="s">
        <v>12</v>
      </c>
    </row>
    <row r="49">
      <c r="A49" s="19" t="s">
        <v>14</v>
      </c>
      <c r="B49" s="35">
        <f>4.6*3-B50</f>
        <v>10.5</v>
      </c>
      <c r="C49" s="36">
        <f>$K$17</f>
        <v>0.1996077274</v>
      </c>
      <c r="D49" s="35">
        <v>1.08</v>
      </c>
      <c r="E49" s="35">
        <v>1.2</v>
      </c>
      <c r="F49" s="12">
        <f t="shared" ref="F49:F52" si="10">B49*C49*D49*E49*$B$4</f>
        <v>40.74392932</v>
      </c>
    </row>
    <row r="50">
      <c r="A50" s="19" t="s">
        <v>87</v>
      </c>
      <c r="B50" s="35">
        <f>1.5*2.2</f>
        <v>3.3</v>
      </c>
      <c r="C50" s="36">
        <f>$K$31</f>
        <v>0.7654836465</v>
      </c>
      <c r="D50" s="35">
        <v>1.08</v>
      </c>
      <c r="E50" s="35">
        <v>1.2</v>
      </c>
      <c r="F50" s="12">
        <f t="shared" si="10"/>
        <v>49.10730689</v>
      </c>
    </row>
    <row r="51">
      <c r="A51" s="11" t="s">
        <v>88</v>
      </c>
      <c r="B51" s="29">
        <f>4.9*3</f>
        <v>14.7</v>
      </c>
      <c r="C51" s="36">
        <f>$K$17</f>
        <v>0.1996077274</v>
      </c>
      <c r="D51" s="11">
        <v>1.18</v>
      </c>
      <c r="E51" s="11">
        <v>1.2</v>
      </c>
      <c r="F51" s="12">
        <f t="shared" si="10"/>
        <v>62.32312152</v>
      </c>
    </row>
    <row r="52">
      <c r="A52" s="11" t="s">
        <v>89</v>
      </c>
      <c r="B52" s="29">
        <f>4.9*4.6</f>
        <v>22.54</v>
      </c>
      <c r="C52" s="31">
        <f>$K$43</f>
        <v>0.1827023122</v>
      </c>
      <c r="D52" s="11">
        <v>1.0</v>
      </c>
      <c r="E52" s="11">
        <v>1.2</v>
      </c>
      <c r="F52" s="12">
        <f t="shared" si="10"/>
        <v>74.12598209</v>
      </c>
    </row>
    <row r="53">
      <c r="F53" s="26">
        <f>SUM(F49:F52)</f>
        <v>226.3003398</v>
      </c>
      <c r="G53" s="13" t="s">
        <v>20</v>
      </c>
    </row>
    <row r="55">
      <c r="A55" s="7" t="s">
        <v>90</v>
      </c>
      <c r="F55" s="2"/>
    </row>
    <row r="56">
      <c r="A56" s="5" t="s">
        <v>7</v>
      </c>
      <c r="B56" s="6" t="s">
        <v>8</v>
      </c>
      <c r="C56" s="6" t="s">
        <v>9</v>
      </c>
      <c r="D56" s="6" t="s">
        <v>10</v>
      </c>
      <c r="E56" s="6" t="s">
        <v>11</v>
      </c>
      <c r="F56" s="6" t="s">
        <v>12</v>
      </c>
    </row>
    <row r="57">
      <c r="A57" s="11" t="s">
        <v>91</v>
      </c>
      <c r="B57" s="11">
        <f>3.5*3-B58</f>
        <v>9</v>
      </c>
      <c r="C57" s="36">
        <f>$K$17</f>
        <v>0.1996077274</v>
      </c>
      <c r="D57" s="11">
        <v>1.08</v>
      </c>
      <c r="E57" s="11">
        <v>1.2</v>
      </c>
      <c r="F57" s="12">
        <f t="shared" ref="F57:F63" si="11">B57*C57*D57*E57*$B$4</f>
        <v>34.92336799</v>
      </c>
    </row>
    <row r="58">
      <c r="A58" s="11" t="s">
        <v>64</v>
      </c>
      <c r="B58" s="29">
        <f>1*1.5</f>
        <v>1.5</v>
      </c>
      <c r="C58" s="36">
        <f>$K$31</f>
        <v>0.7654836465</v>
      </c>
      <c r="D58" s="11">
        <v>1.08</v>
      </c>
      <c r="E58" s="11">
        <v>1.2</v>
      </c>
      <c r="F58" s="12">
        <f t="shared" si="11"/>
        <v>22.32150313</v>
      </c>
    </row>
    <row r="59">
      <c r="A59" s="11" t="s">
        <v>40</v>
      </c>
      <c r="B59" s="29">
        <f>4.6*3-B60-B61</f>
        <v>10.5</v>
      </c>
      <c r="C59" s="36">
        <f>$K$17</f>
        <v>0.1996077274</v>
      </c>
      <c r="D59" s="11">
        <v>1.13</v>
      </c>
      <c r="E59" s="11">
        <v>1.2</v>
      </c>
      <c r="F59" s="12">
        <f t="shared" si="11"/>
        <v>42.63022235</v>
      </c>
    </row>
    <row r="60">
      <c r="A60" s="11" t="s">
        <v>92</v>
      </c>
      <c r="B60" s="11">
        <f>1*1.5</f>
        <v>1.5</v>
      </c>
      <c r="C60" s="36">
        <f t="shared" ref="C60:C61" si="12">$K$31</f>
        <v>0.7654836465</v>
      </c>
      <c r="D60" s="11">
        <v>1.13</v>
      </c>
      <c r="E60" s="11">
        <v>1.2</v>
      </c>
      <c r="F60" s="12">
        <f t="shared" si="11"/>
        <v>23.35490605</v>
      </c>
    </row>
    <row r="61">
      <c r="A61" s="11" t="s">
        <v>93</v>
      </c>
      <c r="B61" s="29">
        <f>0.9*2</f>
        <v>1.8</v>
      </c>
      <c r="C61" s="36">
        <f t="shared" si="12"/>
        <v>0.7654836465</v>
      </c>
      <c r="D61" s="11">
        <v>1.13</v>
      </c>
      <c r="E61" s="11">
        <v>1.2</v>
      </c>
      <c r="F61" s="12">
        <f t="shared" si="11"/>
        <v>28.02588727</v>
      </c>
    </row>
    <row r="62">
      <c r="A62" s="11" t="s">
        <v>94</v>
      </c>
      <c r="B62" s="29">
        <f>1.9*3</f>
        <v>5.7</v>
      </c>
      <c r="C62" s="36">
        <f>$K$17</f>
        <v>0.1996077274</v>
      </c>
      <c r="D62" s="11">
        <v>1.0</v>
      </c>
      <c r="E62" s="11">
        <v>1.2</v>
      </c>
      <c r="F62" s="12">
        <f t="shared" si="11"/>
        <v>20.47975283</v>
      </c>
    </row>
    <row r="63">
      <c r="A63" s="11" t="s">
        <v>95</v>
      </c>
      <c r="B63" s="29">
        <f>3.5*6+1.1*1.9+1.15*0.9</f>
        <v>24.125</v>
      </c>
      <c r="C63" s="31">
        <f>$K$43</f>
        <v>0.1827023122</v>
      </c>
      <c r="D63" s="11">
        <v>1.0</v>
      </c>
      <c r="E63" s="11">
        <v>1.2</v>
      </c>
      <c r="F63" s="12">
        <f t="shared" si="11"/>
        <v>79.33847906</v>
      </c>
    </row>
    <row r="64">
      <c r="F64" s="26">
        <f>SUM(F57:F63)</f>
        <v>251.0741187</v>
      </c>
      <c r="G64" s="13" t="s">
        <v>20</v>
      </c>
    </row>
    <row r="66">
      <c r="A66" s="7" t="s">
        <v>96</v>
      </c>
      <c r="F66" s="2"/>
    </row>
    <row r="67">
      <c r="A67" s="5" t="s">
        <v>7</v>
      </c>
      <c r="B67" s="6" t="s">
        <v>8</v>
      </c>
      <c r="C67" s="6" t="s">
        <v>9</v>
      </c>
      <c r="D67" s="6" t="s">
        <v>10</v>
      </c>
      <c r="E67" s="6" t="s">
        <v>11</v>
      </c>
      <c r="F67" s="6" t="s">
        <v>12</v>
      </c>
    </row>
    <row r="68">
      <c r="A68" s="11" t="s">
        <v>97</v>
      </c>
      <c r="B68" s="29">
        <f>2.2*3</f>
        <v>6.6</v>
      </c>
      <c r="C68" s="36">
        <f t="shared" ref="C68:C69" si="13">$K$17</f>
        <v>0.1996077274</v>
      </c>
      <c r="D68" s="11">
        <v>1.18</v>
      </c>
      <c r="E68" s="11">
        <v>1.2</v>
      </c>
      <c r="F68" s="12">
        <f t="shared" ref="F68:F72" si="14">B68*C68*D68*E68*$B$4</f>
        <v>27.98180966</v>
      </c>
    </row>
    <row r="69">
      <c r="A69" s="11" t="s">
        <v>40</v>
      </c>
      <c r="B69" s="11">
        <f>4.6*3-B70</f>
        <v>11.13</v>
      </c>
      <c r="C69" s="36">
        <f t="shared" si="13"/>
        <v>0.1996077274</v>
      </c>
      <c r="D69" s="11">
        <v>1.13</v>
      </c>
      <c r="E69" s="11">
        <v>1.2</v>
      </c>
      <c r="F69" s="12">
        <f t="shared" si="14"/>
        <v>45.18803569</v>
      </c>
    </row>
    <row r="70">
      <c r="A70" s="11" t="s">
        <v>98</v>
      </c>
      <c r="B70" s="29">
        <f>1.78*1.5</f>
        <v>2.67</v>
      </c>
      <c r="C70" s="36">
        <f>$K$31</f>
        <v>0.7654836465</v>
      </c>
      <c r="D70" s="11">
        <v>1.13</v>
      </c>
      <c r="E70" s="11">
        <v>1.2</v>
      </c>
      <c r="F70" s="12">
        <f t="shared" si="14"/>
        <v>41.57173278</v>
      </c>
    </row>
    <row r="71">
      <c r="A71" s="11" t="s">
        <v>99</v>
      </c>
      <c r="B71" s="29">
        <f>0.9*3</f>
        <v>2.7</v>
      </c>
      <c r="C71" s="36">
        <f>$K$17</f>
        <v>0.1996077274</v>
      </c>
      <c r="D71" s="11">
        <v>1.0</v>
      </c>
      <c r="E71" s="11">
        <v>1.2</v>
      </c>
      <c r="F71" s="12">
        <f t="shared" si="14"/>
        <v>9.700935553</v>
      </c>
    </row>
    <row r="72">
      <c r="A72" s="11" t="s">
        <v>100</v>
      </c>
      <c r="B72" s="29">
        <f>4.6*2.2-1</f>
        <v>9.12</v>
      </c>
      <c r="C72" s="31">
        <f>$K$43</f>
        <v>0.1827023122</v>
      </c>
      <c r="D72" s="11">
        <v>1.0</v>
      </c>
      <c r="E72" s="11">
        <v>1.2</v>
      </c>
      <c r="F72" s="12">
        <f t="shared" si="14"/>
        <v>29.99241157</v>
      </c>
    </row>
    <row r="73">
      <c r="F73" s="26">
        <f>SUM(F68:F72)</f>
        <v>154.4349252</v>
      </c>
      <c r="G73" s="13" t="s">
        <v>20</v>
      </c>
    </row>
    <row r="75">
      <c r="A75" s="7" t="s">
        <v>101</v>
      </c>
      <c r="F75" s="2"/>
    </row>
    <row r="76">
      <c r="A76" s="5" t="s">
        <v>7</v>
      </c>
      <c r="B76" s="6" t="s">
        <v>8</v>
      </c>
      <c r="C76" s="6" t="s">
        <v>9</v>
      </c>
      <c r="D76" s="6" t="s">
        <v>10</v>
      </c>
      <c r="E76" s="6" t="s">
        <v>11</v>
      </c>
      <c r="F76" s="6" t="s">
        <v>12</v>
      </c>
    </row>
    <row r="77">
      <c r="A77" s="11" t="s">
        <v>81</v>
      </c>
      <c r="B77" s="29">
        <f>1*3-B79</f>
        <v>2.75</v>
      </c>
      <c r="C77" s="36">
        <f t="shared" ref="C77:C78" si="15">$K$17</f>
        <v>0.1996077274</v>
      </c>
      <c r="D77" s="11">
        <v>1.08</v>
      </c>
      <c r="E77" s="11">
        <v>1.2</v>
      </c>
      <c r="F77" s="12">
        <f t="shared" ref="F77:F80" si="16">B77*C77*D77*E77*$B$4</f>
        <v>10.67102911</v>
      </c>
    </row>
    <row r="78">
      <c r="A78" s="11" t="s">
        <v>102</v>
      </c>
      <c r="B78" s="29">
        <f>4*3</f>
        <v>12</v>
      </c>
      <c r="C78" s="36">
        <f t="shared" si="15"/>
        <v>0.1996077274</v>
      </c>
      <c r="D78" s="11">
        <v>1.0</v>
      </c>
      <c r="E78" s="11">
        <v>1.2</v>
      </c>
      <c r="F78" s="12">
        <f t="shared" si="16"/>
        <v>43.11526912</v>
      </c>
    </row>
    <row r="79">
      <c r="A79" s="11" t="s">
        <v>103</v>
      </c>
      <c r="B79" s="29">
        <f>0.5*0.5</f>
        <v>0.25</v>
      </c>
      <c r="C79" s="36">
        <f>$K$31</f>
        <v>0.7654836465</v>
      </c>
      <c r="D79" s="11">
        <v>1.08</v>
      </c>
      <c r="E79" s="11">
        <v>1.2</v>
      </c>
      <c r="F79" s="12">
        <f t="shared" si="16"/>
        <v>3.720250522</v>
      </c>
    </row>
    <row r="80">
      <c r="A80" s="11" t="s">
        <v>104</v>
      </c>
      <c r="B80" s="29">
        <f>4*1</f>
        <v>4</v>
      </c>
      <c r="C80" s="31">
        <f>$K$43</f>
        <v>0.1827023122</v>
      </c>
      <c r="D80" s="11">
        <v>1.0</v>
      </c>
      <c r="E80" s="11">
        <v>1.2</v>
      </c>
      <c r="F80" s="12">
        <f t="shared" si="16"/>
        <v>13.15456648</v>
      </c>
    </row>
    <row r="81">
      <c r="F81" s="26">
        <f>SUM(F77:F80)</f>
        <v>70.66111523</v>
      </c>
      <c r="G81" s="13" t="s">
        <v>20</v>
      </c>
    </row>
    <row r="82">
      <c r="A82" s="13" t="s">
        <v>105</v>
      </c>
      <c r="B82" s="26">
        <f>F53+F64+F73+F81</f>
        <v>702.470499</v>
      </c>
      <c r="C82" s="13" t="s">
        <v>60</v>
      </c>
    </row>
    <row r="85">
      <c r="A85" s="13" t="s">
        <v>106</v>
      </c>
      <c r="B85" s="26">
        <f>B45+B82+N19*(1-0.7)</f>
        <v>2444.757809</v>
      </c>
      <c r="C85" s="13" t="s">
        <v>60</v>
      </c>
      <c r="D85" s="13" t="s">
        <v>124</v>
      </c>
    </row>
    <row r="86">
      <c r="B86" s="34">
        <f>B85/1000</f>
        <v>2.444757809</v>
      </c>
      <c r="C86" s="13" t="s">
        <v>107</v>
      </c>
    </row>
    <row r="88">
      <c r="A88" s="13" t="s">
        <v>108</v>
      </c>
      <c r="B88" s="13">
        <v>14.0</v>
      </c>
      <c r="C88" s="13" t="s">
        <v>109</v>
      </c>
    </row>
    <row r="89">
      <c r="A89" s="13" t="s">
        <v>110</v>
      </c>
      <c r="B89" s="13">
        <v>180.0</v>
      </c>
      <c r="C89" s="13" t="s">
        <v>111</v>
      </c>
    </row>
    <row r="91">
      <c r="A91" s="13" t="s">
        <v>112</v>
      </c>
      <c r="B91" s="26">
        <f>B86*B88*B89</f>
        <v>6160.789679</v>
      </c>
      <c r="C91" s="13" t="s">
        <v>113</v>
      </c>
    </row>
    <row r="92">
      <c r="A92" s="13" t="s">
        <v>114</v>
      </c>
      <c r="B92" s="13">
        <v>120.0</v>
      </c>
      <c r="C92" s="13" t="s">
        <v>115</v>
      </c>
    </row>
    <row r="94">
      <c r="A94" s="13" t="s">
        <v>116</v>
      </c>
      <c r="B94" s="34">
        <f>B91/B92</f>
        <v>51.339914</v>
      </c>
      <c r="C94" s="13" t="s">
        <v>117</v>
      </c>
    </row>
    <row r="96">
      <c r="A96" s="13" t="s">
        <v>118</v>
      </c>
      <c r="B96" s="26">
        <f>B91*0.1</f>
        <v>616.0789679</v>
      </c>
      <c r="C96" s="13" t="s">
        <v>119</v>
      </c>
      <c r="D96" s="13" t="s">
        <v>120</v>
      </c>
    </row>
  </sheetData>
  <conditionalFormatting sqref="F10">
    <cfRule type="notContainsBlanks" dxfId="0" priority="1">
      <formula>LEN(TRIM(F10))&gt;0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8.14"/>
    <col customWidth="1" min="5" max="5" width="22.71"/>
  </cols>
  <sheetData>
    <row r="1">
      <c r="A1" s="1" t="s">
        <v>125</v>
      </c>
    </row>
    <row r="2">
      <c r="A2" s="3" t="s">
        <v>126</v>
      </c>
      <c r="B2" s="4">
        <v>61.62</v>
      </c>
      <c r="C2" s="3" t="s">
        <v>50</v>
      </c>
      <c r="D2" s="3" t="s">
        <v>127</v>
      </c>
    </row>
    <row r="3">
      <c r="A3" s="3" t="s">
        <v>128</v>
      </c>
      <c r="B3" s="4">
        <v>33.1</v>
      </c>
      <c r="C3" s="3" t="s">
        <v>50</v>
      </c>
      <c r="D3" s="3" t="s">
        <v>129</v>
      </c>
    </row>
    <row r="4">
      <c r="A4" s="37" t="s">
        <v>130</v>
      </c>
      <c r="B4" s="4">
        <v>2.0</v>
      </c>
      <c r="C4" s="3" t="s">
        <v>131</v>
      </c>
      <c r="D4" s="3" t="s">
        <v>132</v>
      </c>
    </row>
    <row r="5">
      <c r="A5" s="3" t="s">
        <v>133</v>
      </c>
      <c r="B5" s="4">
        <v>0.3</v>
      </c>
      <c r="C5" s="3" t="s">
        <v>134</v>
      </c>
      <c r="D5" s="3" t="s">
        <v>135</v>
      </c>
    </row>
    <row r="6">
      <c r="A6" s="3" t="s">
        <v>136</v>
      </c>
      <c r="B6" s="21">
        <f>D22</f>
        <v>0.336795</v>
      </c>
      <c r="C6" s="3" t="s">
        <v>137</v>
      </c>
      <c r="D6" s="2"/>
      <c r="E6" s="2"/>
    </row>
    <row r="7">
      <c r="A7" s="2"/>
      <c r="B7" s="2"/>
      <c r="C7" s="2"/>
      <c r="D7" s="2"/>
      <c r="E7" s="2"/>
    </row>
    <row r="8">
      <c r="A8" s="3" t="s">
        <v>138</v>
      </c>
      <c r="D8" s="2"/>
      <c r="E8" s="2"/>
    </row>
    <row r="9">
      <c r="A9" s="3" t="s">
        <v>139</v>
      </c>
      <c r="B9" s="38">
        <f>2*B2/B3</f>
        <v>3.72326284</v>
      </c>
      <c r="C9" s="3" t="s">
        <v>134</v>
      </c>
      <c r="D9" s="2"/>
      <c r="E9" s="2"/>
    </row>
    <row r="10">
      <c r="A10" s="3" t="s">
        <v>140</v>
      </c>
      <c r="D10" s="2"/>
      <c r="E10" s="2"/>
    </row>
    <row r="11">
      <c r="A11" s="3" t="s">
        <v>141</v>
      </c>
      <c r="B11" s="21">
        <f>B5+2*(0.17+B6+0.04)</f>
        <v>1.39359</v>
      </c>
      <c r="C11" s="3" t="s">
        <v>134</v>
      </c>
      <c r="D11" s="3" t="s">
        <v>142</v>
      </c>
    </row>
    <row r="12">
      <c r="A12" s="39" t="s">
        <v>143</v>
      </c>
      <c r="C12" s="2"/>
      <c r="D12" s="2"/>
      <c r="E12" s="2"/>
    </row>
    <row r="13">
      <c r="A13" s="40" t="s">
        <v>44</v>
      </c>
      <c r="B13" s="41">
        <f>(2*B4)/(3.14*B9+B11)*LN(3.14*B9/B11+1)</f>
        <v>0.6846367391</v>
      </c>
      <c r="C13" s="40" t="s">
        <v>39</v>
      </c>
      <c r="D13" s="40" t="s">
        <v>144</v>
      </c>
    </row>
    <row r="14">
      <c r="A14" s="2"/>
      <c r="B14" s="2"/>
      <c r="C14" s="2"/>
      <c r="D14" s="2"/>
      <c r="E14" s="2"/>
    </row>
    <row r="15">
      <c r="A15" s="1" t="s">
        <v>145</v>
      </c>
      <c r="B15" s="2"/>
      <c r="C15" s="2"/>
      <c r="D15" s="2"/>
      <c r="E15" s="2"/>
    </row>
    <row r="16">
      <c r="A16" s="19" t="s">
        <v>146</v>
      </c>
      <c r="B16" s="25" t="s">
        <v>147</v>
      </c>
      <c r="C16" s="25" t="s">
        <v>148</v>
      </c>
      <c r="D16" s="25" t="s">
        <v>18</v>
      </c>
      <c r="E16" s="2"/>
    </row>
    <row r="17">
      <c r="A17" s="8" t="s">
        <v>149</v>
      </c>
      <c r="B17" s="14"/>
      <c r="C17" s="14"/>
      <c r="D17" s="9">
        <v>0.17</v>
      </c>
      <c r="E17" s="2"/>
    </row>
    <row r="18">
      <c r="A18" s="42" t="s">
        <v>150</v>
      </c>
      <c r="B18" s="15">
        <v>0.012</v>
      </c>
      <c r="C18" s="15">
        <v>1.0</v>
      </c>
      <c r="D18" s="15">
        <v>0.012</v>
      </c>
      <c r="E18" s="43" t="s">
        <v>151</v>
      </c>
    </row>
    <row r="19">
      <c r="A19" s="42" t="s">
        <v>152</v>
      </c>
      <c r="B19" s="15">
        <v>0.04</v>
      </c>
      <c r="C19" s="15">
        <v>0.73</v>
      </c>
      <c r="D19" s="15">
        <v>0.054795</v>
      </c>
      <c r="E19" s="44"/>
    </row>
    <row r="20">
      <c r="A20" s="42" t="s">
        <v>153</v>
      </c>
      <c r="B20" s="15">
        <v>0.2</v>
      </c>
      <c r="C20" s="15">
        <v>0.75</v>
      </c>
      <c r="D20" s="15">
        <v>0.27</v>
      </c>
      <c r="E20" s="44"/>
    </row>
    <row r="21">
      <c r="A21" s="2"/>
      <c r="B21" s="2"/>
      <c r="C21" s="2"/>
      <c r="D21" s="45">
        <f>SUM(D17:D20)</f>
        <v>0.506795</v>
      </c>
      <c r="E21" s="3" t="s">
        <v>137</v>
      </c>
    </row>
    <row r="22">
      <c r="A22" s="3" t="s">
        <v>154</v>
      </c>
      <c r="D22" s="46">
        <f>D18+D19+D20</f>
        <v>0.336795</v>
      </c>
      <c r="E22" s="3" t="s">
        <v>137</v>
      </c>
    </row>
    <row r="23">
      <c r="A23" s="2"/>
      <c r="B23" s="2"/>
      <c r="C23" s="2"/>
      <c r="D23" s="2"/>
      <c r="E23" s="2"/>
    </row>
  </sheetData>
  <mergeCells count="12">
    <mergeCell ref="A10:C10"/>
    <mergeCell ref="A12:B12"/>
    <mergeCell ref="A22:C22"/>
    <mergeCell ref="D13:E13"/>
    <mergeCell ref="E18:E20"/>
    <mergeCell ref="A1:E1"/>
    <mergeCell ref="D2:E2"/>
    <mergeCell ref="D3:E3"/>
    <mergeCell ref="D4:E4"/>
    <mergeCell ref="D5:E5"/>
    <mergeCell ref="A8:C8"/>
    <mergeCell ref="D11:E1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6.71"/>
    <col customWidth="1" min="3" max="3" width="15.14"/>
    <col customWidth="1" min="4" max="4" width="24.86"/>
    <col customWidth="1" min="5" max="5" width="19.71"/>
    <col customWidth="1" min="6" max="6" width="5.29"/>
    <col customWidth="1" min="7" max="7" width="19.86"/>
    <col customWidth="1" min="8" max="8" width="17.14"/>
    <col customWidth="1" min="10" max="10" width="16.57"/>
  </cols>
  <sheetData>
    <row r="1">
      <c r="A1" s="47" t="s">
        <v>155</v>
      </c>
    </row>
    <row r="2">
      <c r="B2" s="13"/>
      <c r="C2" s="13"/>
      <c r="D2" s="13"/>
    </row>
    <row r="3">
      <c r="A3" s="48" t="s">
        <v>156</v>
      </c>
      <c r="B3" s="49"/>
      <c r="C3" s="49"/>
      <c r="D3" s="50">
        <v>1.7</v>
      </c>
      <c r="E3" s="13" t="s">
        <v>2</v>
      </c>
    </row>
    <row r="4">
      <c r="A4" s="51" t="s">
        <v>157</v>
      </c>
      <c r="B4" s="13"/>
      <c r="C4" s="13"/>
      <c r="D4" s="52">
        <v>590.0</v>
      </c>
      <c r="E4" s="13" t="s">
        <v>158</v>
      </c>
    </row>
    <row r="5">
      <c r="A5" s="51" t="s">
        <v>159</v>
      </c>
      <c r="B5" s="13"/>
      <c r="C5" s="13"/>
      <c r="D5" s="52">
        <v>20.0</v>
      </c>
      <c r="E5" s="13" t="s">
        <v>2</v>
      </c>
    </row>
    <row r="6">
      <c r="A6" s="53" t="s">
        <v>160</v>
      </c>
      <c r="B6" s="54"/>
      <c r="C6" s="54"/>
      <c r="D6" s="55">
        <v>1519.0</v>
      </c>
      <c r="E6" s="13" t="s">
        <v>158</v>
      </c>
    </row>
    <row r="7">
      <c r="B7" s="13"/>
      <c r="C7" s="13"/>
      <c r="D7" s="13"/>
    </row>
    <row r="8" ht="21.0" customHeight="1">
      <c r="A8" s="56"/>
      <c r="B8" s="57" t="s">
        <v>161</v>
      </c>
      <c r="C8" s="57" t="s">
        <v>162</v>
      </c>
      <c r="D8" s="57" t="s">
        <v>163</v>
      </c>
    </row>
    <row r="9">
      <c r="A9" s="11" t="s">
        <v>82</v>
      </c>
      <c r="B9" s="11"/>
      <c r="C9" s="11">
        <v>0.04</v>
      </c>
      <c r="D9" s="58">
        <f>187.5*10^-12</f>
        <v>0.0000000001875</v>
      </c>
    </row>
    <row r="10">
      <c r="A10" s="11" t="s">
        <v>164</v>
      </c>
      <c r="B10" s="11">
        <v>0.3</v>
      </c>
      <c r="C10" s="11">
        <v>0.94</v>
      </c>
      <c r="D10" s="58">
        <f>9.38*10^-12</f>
        <v>0</v>
      </c>
    </row>
    <row r="11">
      <c r="A11" s="11" t="s">
        <v>165</v>
      </c>
      <c r="B11" s="11">
        <v>0.08</v>
      </c>
      <c r="C11" s="11">
        <v>1.818</v>
      </c>
      <c r="D11" s="58">
        <f>6.25*10^-12</f>
        <v>0</v>
      </c>
    </row>
    <row r="12">
      <c r="A12" s="11" t="s">
        <v>166</v>
      </c>
      <c r="B12" s="11">
        <v>0.2</v>
      </c>
      <c r="C12" s="11">
        <v>0.189</v>
      </c>
      <c r="D12" s="59">
        <f>1.97*10^-12</f>
        <v>0</v>
      </c>
    </row>
    <row r="13">
      <c r="A13" s="11" t="s">
        <v>167</v>
      </c>
      <c r="B13" s="29"/>
      <c r="C13" s="11">
        <v>0.013</v>
      </c>
      <c r="D13" s="58">
        <f>187.5*10^-12</f>
        <v>0.0000000001875</v>
      </c>
    </row>
    <row r="14">
      <c r="B14" s="13" t="s">
        <v>168</v>
      </c>
      <c r="C14" s="27">
        <f>SUM(C9:C13)</f>
        <v>3</v>
      </c>
    </row>
    <row r="16">
      <c r="A16" s="7" t="s">
        <v>169</v>
      </c>
      <c r="E16" s="13" t="s">
        <v>170</v>
      </c>
      <c r="G16" s="13" t="s">
        <v>171</v>
      </c>
    </row>
    <row r="17">
      <c r="A17" s="13" t="s">
        <v>172</v>
      </c>
      <c r="B17" s="13"/>
      <c r="C17" s="13"/>
      <c r="E17" s="13"/>
    </row>
    <row r="18">
      <c r="A18" s="57" t="s">
        <v>173</v>
      </c>
      <c r="B18" s="57" t="s">
        <v>162</v>
      </c>
      <c r="C18" s="57" t="s">
        <v>174</v>
      </c>
      <c r="E18" s="13" t="s">
        <v>175</v>
      </c>
    </row>
    <row r="19">
      <c r="A19" s="11" t="s">
        <v>82</v>
      </c>
      <c r="B19" s="11">
        <v>0.04</v>
      </c>
      <c r="C19" s="32">
        <f t="shared" ref="C19:C23" si="1">C20-(B19/$C$14)*($D$5-$D$3)</f>
        <v>1.7</v>
      </c>
      <c r="E19" s="60" t="s">
        <v>176</v>
      </c>
      <c r="F19" s="61"/>
      <c r="G19" s="62"/>
    </row>
    <row r="20">
      <c r="A20" s="63" t="s">
        <v>177</v>
      </c>
      <c r="B20" s="63">
        <v>0.94</v>
      </c>
      <c r="C20" s="64">
        <f t="shared" si="1"/>
        <v>1.944</v>
      </c>
      <c r="E20" s="65" t="s">
        <v>178</v>
      </c>
      <c r="F20" s="66"/>
      <c r="G20" s="67"/>
    </row>
    <row r="21">
      <c r="A21" s="63" t="s">
        <v>179</v>
      </c>
      <c r="B21" s="63">
        <v>1.818</v>
      </c>
      <c r="C21" s="64">
        <f t="shared" si="1"/>
        <v>7.678</v>
      </c>
      <c r="E21" s="13" t="s">
        <v>180</v>
      </c>
    </row>
    <row r="22">
      <c r="A22" s="63" t="s">
        <v>181</v>
      </c>
      <c r="B22" s="63">
        <v>0.189</v>
      </c>
      <c r="C22" s="64">
        <f t="shared" si="1"/>
        <v>18.7678</v>
      </c>
      <c r="E22" s="13" t="s">
        <v>182</v>
      </c>
    </row>
    <row r="23">
      <c r="A23" s="63" t="s">
        <v>183</v>
      </c>
      <c r="B23" s="63">
        <v>0.013</v>
      </c>
      <c r="C23" s="64">
        <f t="shared" si="1"/>
        <v>19.9207</v>
      </c>
    </row>
    <row r="24">
      <c r="A24" s="11" t="s">
        <v>167</v>
      </c>
      <c r="B24" s="29"/>
      <c r="C24" s="11">
        <v>20.0</v>
      </c>
      <c r="D24" s="13" t="s">
        <v>184</v>
      </c>
    </row>
    <row r="26">
      <c r="A26" s="7" t="s">
        <v>185</v>
      </c>
    </row>
    <row r="27">
      <c r="A27" s="13"/>
      <c r="B27" s="13"/>
    </row>
    <row r="28">
      <c r="A28" s="57" t="s">
        <v>173</v>
      </c>
      <c r="B28" s="57" t="s">
        <v>174</v>
      </c>
      <c r="C28" s="57" t="s">
        <v>186</v>
      </c>
      <c r="E28" s="68" t="s">
        <v>187</v>
      </c>
      <c r="F28" s="69"/>
      <c r="G28" s="69"/>
      <c r="H28" s="69"/>
      <c r="I28" s="69"/>
      <c r="J28" s="70"/>
    </row>
    <row r="29">
      <c r="A29" s="11" t="s">
        <v>82</v>
      </c>
      <c r="B29" s="71">
        <f t="shared" ref="B29:B34" si="2">C19</f>
        <v>1.7</v>
      </c>
      <c r="C29" s="71">
        <f t="shared" ref="C29:C34" si="3">0.0496965*C19^3+0.979515*C19^2+46.9035*C19+609.484</f>
        <v>692.2949073</v>
      </c>
      <c r="D29" s="72"/>
      <c r="E29" s="73" t="s">
        <v>188</v>
      </c>
      <c r="F29" s="74"/>
      <c r="G29" s="74"/>
      <c r="H29" s="74"/>
      <c r="I29" s="74"/>
      <c r="J29" s="75"/>
    </row>
    <row r="30">
      <c r="A30" s="63" t="s">
        <v>177</v>
      </c>
      <c r="B30" s="76">
        <f t="shared" si="2"/>
        <v>1.944</v>
      </c>
      <c r="C30" s="76">
        <f t="shared" si="3"/>
        <v>704.7312267</v>
      </c>
      <c r="E30" s="77" t="s">
        <v>189</v>
      </c>
      <c r="F30" s="78"/>
      <c r="G30" s="78"/>
      <c r="H30" s="78"/>
      <c r="I30" s="78"/>
      <c r="J30" s="79"/>
    </row>
    <row r="31">
      <c r="A31" s="63" t="s">
        <v>179</v>
      </c>
      <c r="B31" s="76">
        <f t="shared" si="2"/>
        <v>7.678</v>
      </c>
      <c r="C31" s="76">
        <f t="shared" si="3"/>
        <v>1049.84731</v>
      </c>
    </row>
    <row r="32">
      <c r="A32" s="63" t="s">
        <v>181</v>
      </c>
      <c r="B32" s="76">
        <f t="shared" si="2"/>
        <v>18.7678</v>
      </c>
      <c r="C32" s="76">
        <f t="shared" si="3"/>
        <v>2163.29748</v>
      </c>
    </row>
    <row r="33">
      <c r="A33" s="63" t="s">
        <v>183</v>
      </c>
      <c r="B33" s="76">
        <f t="shared" si="2"/>
        <v>19.9207</v>
      </c>
      <c r="C33" s="76">
        <f t="shared" si="3"/>
        <v>2325.401298</v>
      </c>
    </row>
    <row r="34">
      <c r="A34" s="11" t="s">
        <v>82</v>
      </c>
      <c r="B34" s="80">
        <f t="shared" si="2"/>
        <v>20</v>
      </c>
      <c r="C34" s="71">
        <f t="shared" si="3"/>
        <v>2336.932</v>
      </c>
    </row>
    <row r="36">
      <c r="A36" s="7" t="s">
        <v>190</v>
      </c>
    </row>
    <row r="37">
      <c r="A37" s="13" t="s">
        <v>172</v>
      </c>
      <c r="G37" s="13" t="s">
        <v>191</v>
      </c>
    </row>
    <row r="38">
      <c r="A38" s="57" t="s">
        <v>173</v>
      </c>
      <c r="B38" s="57" t="s">
        <v>192</v>
      </c>
      <c r="C38" s="57" t="s">
        <v>193</v>
      </c>
      <c r="D38" s="57" t="s">
        <v>194</v>
      </c>
      <c r="E38" s="57" t="s">
        <v>195</v>
      </c>
      <c r="G38" s="81" t="s">
        <v>196</v>
      </c>
      <c r="H38" s="29"/>
      <c r="I38" s="29"/>
      <c r="J38" s="29"/>
    </row>
    <row r="39">
      <c r="A39" s="11" t="s">
        <v>82</v>
      </c>
      <c r="B39" s="11">
        <v>0.0</v>
      </c>
      <c r="C39" s="58">
        <f>187.5*10^-12</f>
        <v>0.0000000001875</v>
      </c>
      <c r="D39" s="59">
        <f t="shared" ref="D39:D43" si="4">B39/C39</f>
        <v>0</v>
      </c>
      <c r="E39" s="82">
        <f>E40</f>
        <v>590</v>
      </c>
      <c r="G39" s="81" t="s">
        <v>197</v>
      </c>
      <c r="H39" s="29"/>
      <c r="I39" s="29"/>
      <c r="J39" s="29"/>
    </row>
    <row r="40">
      <c r="A40" s="63" t="s">
        <v>177</v>
      </c>
      <c r="B40" s="63">
        <v>0.3</v>
      </c>
      <c r="C40" s="83">
        <f>9.38*10^-12</f>
        <v>0</v>
      </c>
      <c r="D40" s="84">
        <f t="shared" si="4"/>
        <v>31982942431</v>
      </c>
      <c r="E40" s="85">
        <f t="shared" ref="E40:E43" si="5">E41-(D40/$D$44)*($D$6-$D$4)</f>
        <v>590</v>
      </c>
      <c r="G40" s="13" t="s">
        <v>180</v>
      </c>
    </row>
    <row r="41">
      <c r="A41" s="63" t="s">
        <v>179</v>
      </c>
      <c r="B41" s="63">
        <v>0.08</v>
      </c>
      <c r="C41" s="83">
        <f>6.25*10^-12</f>
        <v>0</v>
      </c>
      <c r="D41" s="84">
        <f t="shared" si="4"/>
        <v>12800000000</v>
      </c>
      <c r="E41" s="85">
        <f t="shared" si="5"/>
        <v>793.082561</v>
      </c>
      <c r="G41" s="13" t="s">
        <v>182</v>
      </c>
    </row>
    <row r="42">
      <c r="A42" s="63" t="s">
        <v>181</v>
      </c>
      <c r="B42" s="63">
        <v>0.2</v>
      </c>
      <c r="C42" s="84">
        <f>1.97*10^-12</f>
        <v>0</v>
      </c>
      <c r="D42" s="84">
        <f t="shared" si="4"/>
        <v>101522842640</v>
      </c>
      <c r="E42" s="85">
        <f t="shared" si="5"/>
        <v>874.3589097</v>
      </c>
    </row>
    <row r="43">
      <c r="A43" s="63" t="s">
        <v>183</v>
      </c>
      <c r="B43" s="63">
        <v>0.0</v>
      </c>
      <c r="C43" s="83">
        <f>187.5*10^-12</f>
        <v>0.0000000001875</v>
      </c>
      <c r="D43" s="84">
        <f t="shared" si="4"/>
        <v>0</v>
      </c>
      <c r="E43" s="85">
        <f t="shared" si="5"/>
        <v>1519</v>
      </c>
    </row>
    <row r="44">
      <c r="A44" s="11" t="s">
        <v>82</v>
      </c>
      <c r="B44" s="29"/>
      <c r="C44" s="29"/>
      <c r="D44" s="59">
        <f>SUM(D39:D43)</f>
        <v>146305785070</v>
      </c>
      <c r="E44" s="86">
        <f>1519</f>
        <v>1519</v>
      </c>
      <c r="F44" s="13" t="s">
        <v>184</v>
      </c>
    </row>
    <row r="46">
      <c r="A46" s="13" t="s">
        <v>198</v>
      </c>
    </row>
    <row r="47">
      <c r="A47" s="57" t="s">
        <v>199</v>
      </c>
      <c r="B47" s="57" t="s">
        <v>200</v>
      </c>
      <c r="C47" s="57" t="s">
        <v>201</v>
      </c>
      <c r="D47" s="57" t="s">
        <v>202</v>
      </c>
    </row>
    <row r="48">
      <c r="A48" s="63" t="s">
        <v>177</v>
      </c>
      <c r="B48" s="63">
        <v>0.0</v>
      </c>
      <c r="C48" s="76">
        <f t="shared" ref="C48:C51" si="6">C30</f>
        <v>704.7312267</v>
      </c>
      <c r="D48" s="85">
        <f t="shared" ref="D48:D51" si="7">E40</f>
        <v>590</v>
      </c>
    </row>
    <row r="49">
      <c r="A49" s="63" t="s">
        <v>179</v>
      </c>
      <c r="B49" s="63">
        <v>0.3</v>
      </c>
      <c r="C49" s="76">
        <f t="shared" si="6"/>
        <v>1049.84731</v>
      </c>
      <c r="D49" s="85">
        <f t="shared" si="7"/>
        <v>793.082561</v>
      </c>
    </row>
    <row r="50">
      <c r="A50" s="63" t="s">
        <v>181</v>
      </c>
      <c r="B50" s="63">
        <v>0.38</v>
      </c>
      <c r="C50" s="76">
        <f t="shared" si="6"/>
        <v>2163.29748</v>
      </c>
      <c r="D50" s="85">
        <f t="shared" si="7"/>
        <v>874.3589097</v>
      </c>
    </row>
    <row r="51">
      <c r="A51" s="63" t="s">
        <v>183</v>
      </c>
      <c r="B51" s="63">
        <v>0.58</v>
      </c>
      <c r="C51" s="76">
        <f t="shared" si="6"/>
        <v>2325.401298</v>
      </c>
      <c r="D51" s="85">
        <f t="shared" si="7"/>
        <v>1519</v>
      </c>
    </row>
    <row r="52">
      <c r="B52" s="13" t="s">
        <v>203</v>
      </c>
    </row>
    <row r="53">
      <c r="A53" s="13"/>
    </row>
    <row r="54">
      <c r="A54" s="13" t="s">
        <v>204</v>
      </c>
    </row>
    <row r="60">
      <c r="F60" s="13" t="s">
        <v>205</v>
      </c>
    </row>
    <row r="61">
      <c r="F61" s="13" t="s">
        <v>206</v>
      </c>
    </row>
    <row r="63">
      <c r="F63" s="87" t="s">
        <v>207</v>
      </c>
      <c r="G63" s="88"/>
      <c r="H63" s="89"/>
    </row>
    <row r="64">
      <c r="F64" s="90" t="s">
        <v>208</v>
      </c>
      <c r="G64" s="91"/>
      <c r="H64" s="92"/>
    </row>
    <row r="65">
      <c r="F65" s="93" t="s">
        <v>209</v>
      </c>
      <c r="G65" s="94"/>
      <c r="H65" s="95"/>
    </row>
  </sheetData>
  <conditionalFormatting sqref="D8">
    <cfRule type="notContainsBlanks" dxfId="0" priority="1">
      <formula>LEN(TRIM(D8))&gt;0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47" t="s">
        <v>155</v>
      </c>
    </row>
    <row r="2">
      <c r="B2" s="13"/>
      <c r="C2" s="13"/>
      <c r="D2" s="13"/>
    </row>
    <row r="3">
      <c r="A3" s="48" t="s">
        <v>156</v>
      </c>
      <c r="B3" s="49"/>
      <c r="C3" s="49"/>
      <c r="D3" s="50">
        <v>1.7</v>
      </c>
      <c r="E3" s="13" t="s">
        <v>2</v>
      </c>
    </row>
    <row r="4">
      <c r="A4" s="51" t="s">
        <v>157</v>
      </c>
      <c r="B4" s="13"/>
      <c r="C4" s="13"/>
      <c r="D4" s="52">
        <v>590.0</v>
      </c>
      <c r="E4" s="13" t="s">
        <v>158</v>
      </c>
    </row>
    <row r="5">
      <c r="A5" s="51" t="s">
        <v>159</v>
      </c>
      <c r="B5" s="13"/>
      <c r="C5" s="13"/>
      <c r="D5" s="52">
        <v>20.0</v>
      </c>
      <c r="E5" s="13" t="s">
        <v>2</v>
      </c>
    </row>
    <row r="6">
      <c r="A6" s="53" t="s">
        <v>160</v>
      </c>
      <c r="B6" s="54"/>
      <c r="C6" s="54"/>
      <c r="D6" s="55">
        <v>1519.0</v>
      </c>
      <c r="E6" s="13" t="s">
        <v>158</v>
      </c>
    </row>
    <row r="7">
      <c r="B7" s="13"/>
      <c r="C7" s="13"/>
      <c r="D7" s="13"/>
    </row>
    <row r="8">
      <c r="A8" s="56"/>
      <c r="B8" s="57" t="s">
        <v>161</v>
      </c>
      <c r="C8" s="57" t="s">
        <v>210</v>
      </c>
      <c r="D8" s="57" t="s">
        <v>162</v>
      </c>
      <c r="E8" s="57" t="s">
        <v>163</v>
      </c>
    </row>
    <row r="9">
      <c r="A9" s="11" t="s">
        <v>82</v>
      </c>
      <c r="B9" s="11"/>
      <c r="C9" s="29"/>
      <c r="D9" s="31">
        <v>0.04</v>
      </c>
      <c r="E9" s="58">
        <f>187.5*10^-12</f>
        <v>0.0000000001875</v>
      </c>
      <c r="F9" s="13" t="s">
        <v>211</v>
      </c>
      <c r="G9" s="13" t="s">
        <v>212</v>
      </c>
    </row>
    <row r="10">
      <c r="A10" s="11" t="s">
        <v>165</v>
      </c>
      <c r="B10" s="11">
        <v>0.1</v>
      </c>
      <c r="C10" s="11">
        <v>0.023</v>
      </c>
      <c r="D10" s="31">
        <f t="shared" ref="D10:D13" si="1">B10/C10</f>
        <v>4.347826087</v>
      </c>
      <c r="E10" s="58">
        <f>E9/40</f>
        <v>0</v>
      </c>
      <c r="F10" s="13" t="s">
        <v>213</v>
      </c>
      <c r="G10" s="13" t="s">
        <v>214</v>
      </c>
    </row>
    <row r="11">
      <c r="A11" s="11" t="s">
        <v>215</v>
      </c>
      <c r="B11" s="11">
        <v>0.01</v>
      </c>
      <c r="C11" s="11">
        <v>0.9</v>
      </c>
      <c r="D11" s="31">
        <f t="shared" si="1"/>
        <v>0.01111111111</v>
      </c>
      <c r="E11" s="58">
        <f>E9/19</f>
        <v>0</v>
      </c>
      <c r="F11" s="13" t="s">
        <v>216</v>
      </c>
      <c r="G11" s="13" t="s">
        <v>217</v>
      </c>
    </row>
    <row r="12">
      <c r="A12" s="11" t="s">
        <v>164</v>
      </c>
      <c r="B12" s="11">
        <v>0.28</v>
      </c>
      <c r="C12" s="11">
        <v>0.6</v>
      </c>
      <c r="D12" s="31">
        <f t="shared" si="1"/>
        <v>0.4666666667</v>
      </c>
      <c r="E12" s="58">
        <f>9.38*10^-12</f>
        <v>0</v>
      </c>
      <c r="F12" s="96" t="s">
        <v>218</v>
      </c>
    </row>
    <row r="13">
      <c r="A13" s="11" t="s">
        <v>219</v>
      </c>
      <c r="B13" s="11">
        <v>0.1</v>
      </c>
      <c r="C13" s="11">
        <v>0.7</v>
      </c>
      <c r="D13" s="31">
        <f t="shared" si="1"/>
        <v>0.1428571429</v>
      </c>
      <c r="E13" s="59">
        <f>E9/11.5</f>
        <v>0</v>
      </c>
      <c r="F13" s="13" t="s">
        <v>220</v>
      </c>
    </row>
    <row r="14">
      <c r="A14" s="11" t="s">
        <v>167</v>
      </c>
      <c r="B14" s="29"/>
      <c r="C14" s="29"/>
      <c r="D14" s="31">
        <v>0.013</v>
      </c>
      <c r="E14" s="58">
        <f>187.5*10^-12</f>
        <v>0.0000000001875</v>
      </c>
      <c r="F14" s="13" t="s">
        <v>211</v>
      </c>
    </row>
    <row r="15">
      <c r="C15" s="13" t="s">
        <v>168</v>
      </c>
      <c r="D15" s="33">
        <f>SUM(D9:D14)</f>
        <v>5.021461008</v>
      </c>
    </row>
    <row r="17">
      <c r="A17" s="7" t="s">
        <v>169</v>
      </c>
      <c r="E17" s="13" t="s">
        <v>170</v>
      </c>
    </row>
    <row r="18">
      <c r="A18" s="13" t="s">
        <v>172</v>
      </c>
      <c r="B18" s="13"/>
      <c r="C18" s="13"/>
      <c r="E18" s="13"/>
    </row>
    <row r="19">
      <c r="A19" s="57" t="s">
        <v>173</v>
      </c>
      <c r="B19" s="57" t="s">
        <v>162</v>
      </c>
      <c r="C19" s="57" t="s">
        <v>174</v>
      </c>
      <c r="E19" s="13" t="s">
        <v>175</v>
      </c>
    </row>
    <row r="20">
      <c r="A20" s="11" t="s">
        <v>82</v>
      </c>
      <c r="B20" s="31">
        <f t="shared" ref="B20:B25" si="2">D9</f>
        <v>0.04</v>
      </c>
      <c r="C20" s="97">
        <f t="shared" ref="C20:C25" si="3">C21-(B20/$D$15)*($D$5-$D$3)</f>
        <v>1.7</v>
      </c>
      <c r="E20" s="81" t="s">
        <v>176</v>
      </c>
      <c r="F20" s="29"/>
      <c r="G20" s="29"/>
    </row>
    <row r="21">
      <c r="A21" s="63" t="s">
        <v>221</v>
      </c>
      <c r="B21" s="98">
        <f t="shared" si="2"/>
        <v>4.347826087</v>
      </c>
      <c r="C21" s="97">
        <f t="shared" si="3"/>
        <v>1.845774307</v>
      </c>
      <c r="E21" s="81" t="s">
        <v>178</v>
      </c>
      <c r="F21" s="29"/>
      <c r="G21" s="29"/>
    </row>
    <row r="22">
      <c r="A22" s="63" t="s">
        <v>222</v>
      </c>
      <c r="B22" s="98">
        <f t="shared" si="2"/>
        <v>0.01111111111</v>
      </c>
      <c r="C22" s="97">
        <f t="shared" si="3"/>
        <v>17.69080771</v>
      </c>
      <c r="E22" s="13" t="s">
        <v>180</v>
      </c>
    </row>
    <row r="23">
      <c r="A23" s="63" t="s">
        <v>223</v>
      </c>
      <c r="B23" s="98">
        <f t="shared" si="2"/>
        <v>0.4666666667</v>
      </c>
      <c r="C23" s="97">
        <f t="shared" si="3"/>
        <v>17.73130057</v>
      </c>
      <c r="E23" s="13" t="s">
        <v>182</v>
      </c>
    </row>
    <row r="24">
      <c r="A24" s="63" t="s">
        <v>224</v>
      </c>
      <c r="B24" s="98">
        <f t="shared" si="2"/>
        <v>0.1428571429</v>
      </c>
      <c r="C24" s="97">
        <f t="shared" si="3"/>
        <v>19.43200082</v>
      </c>
    </row>
    <row r="25">
      <c r="A25" s="63" t="s">
        <v>225</v>
      </c>
      <c r="B25" s="98">
        <f t="shared" si="2"/>
        <v>0.013</v>
      </c>
      <c r="C25" s="97">
        <f t="shared" si="3"/>
        <v>19.95262335</v>
      </c>
    </row>
    <row r="26">
      <c r="A26" s="11" t="s">
        <v>167</v>
      </c>
      <c r="B26" s="29"/>
      <c r="C26" s="11">
        <v>20.0</v>
      </c>
      <c r="D26" s="13" t="s">
        <v>184</v>
      </c>
    </row>
  </sheetData>
  <conditionalFormatting sqref="E8">
    <cfRule type="notContainsBlanks" dxfId="0" priority="1">
      <formula>LEN(TRIM(E8))&gt;0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3" t="s">
        <v>226</v>
      </c>
    </row>
    <row r="2">
      <c r="A2" s="13" t="s">
        <v>227</v>
      </c>
    </row>
    <row r="3">
      <c r="A3" s="13" t="s">
        <v>228</v>
      </c>
    </row>
    <row r="4">
      <c r="A4" s="13" t="s">
        <v>229</v>
      </c>
    </row>
    <row r="5">
      <c r="A5" s="99" t="s">
        <v>230</v>
      </c>
    </row>
    <row r="6">
      <c r="A6" s="13" t="s">
        <v>231</v>
      </c>
    </row>
    <row r="8">
      <c r="A8" s="13" t="s">
        <v>232</v>
      </c>
    </row>
  </sheetData>
  <drawing r:id="rId1"/>
</worksheet>
</file>